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Assumptions" sheetId="2" state="visible" r:id="rId2"/>
    <sheet xmlns:r="http://schemas.openxmlformats.org/officeDocument/2006/relationships" name="Rent Roll" sheetId="3" state="visible" r:id="rId3"/>
    <sheet xmlns:r="http://schemas.openxmlformats.org/officeDocument/2006/relationships" name="T12" sheetId="4" state="visible" r:id="rId4"/>
    <sheet xmlns:r="http://schemas.openxmlformats.org/officeDocument/2006/relationships" name="Pro Forma" sheetId="5" state="visible" r:id="rId5"/>
    <sheet xmlns:r="http://schemas.openxmlformats.org/officeDocument/2006/relationships" name="Debt" sheetId="6" state="visible" r:id="rId6"/>
    <sheet xmlns:r="http://schemas.openxmlformats.org/officeDocument/2006/relationships" name="Sources and Uses" sheetId="7" state="visible" r:id="rId7"/>
    <sheet xmlns:r="http://schemas.openxmlformats.org/officeDocument/2006/relationships" name="Returns" sheetId="8" state="visible" r:id="rId8"/>
    <sheet xmlns:r="http://schemas.openxmlformats.org/officeDocument/2006/relationships" name="Sensitivity" sheetId="9" state="visible" r:id="rId9"/>
    <sheet xmlns:r="http://schemas.openxmlformats.org/officeDocument/2006/relationships" name="Sens Calc" sheetId="10" state="visible" r:id="rId10"/>
    <sheet xmlns:r="http://schemas.openxmlformats.org/officeDocument/2006/relationships" name="Checks" sheetId="11" state="visible" r:id="rId11"/>
  </sheets>
  <definedNames>
    <definedName name="_xlnm.Print_Titles" localSheetId="1">'Assumptions'!$1:$3</definedName>
    <definedName name="_xlnm.Print_Titles" localSheetId="2">'Rent Roll'!$1:$4</definedName>
    <definedName name="_xlnm.Print_Titles" localSheetId="3">'T12'!$1:$4</definedName>
    <definedName name="_xlnm.Print_Titles" localSheetId="4">'Pro Forma'!$1:$4</definedName>
    <definedName name="_xlnm.Print_Titles" localSheetId="5">'Debt'!$1:$3</definedName>
    <definedName name="_xlnm.Print_Titles" localSheetId="6">'Sources and Uses'!$1:$3</definedName>
    <definedName name="_xlnm.Print_Titles" localSheetId="7">'Returns'!$1:$3</definedName>
    <definedName name="_xlnm.Print_Titles" localSheetId="8">'Sensitivity'!$1:$3</definedName>
    <definedName name="_xlnm.Print_Titles" localSheetId="9">'Sens Calc'!$1:$3</definedName>
    <definedName name="_xlnm.Print_Titles" localSheetId="10">'Checks'!$1:$4</definedName>
  </definedNames>
  <calcPr calcId="124519" fullCalcOnLoad="1"/>
</workbook>
</file>

<file path=xl/styles.xml><?xml version="1.0" encoding="utf-8"?>
<styleSheet xmlns="http://schemas.openxmlformats.org/spreadsheetml/2006/main">
  <numFmts count="11">
    <numFmt numFmtId="164" formatCode="&quot;$&quot;#,##0;(&quot;$&quot;#,##0)"/>
    <numFmt numFmtId="165" formatCode="#,##0;(#,##0)"/>
    <numFmt numFmtId="166" formatCode="0.0%"/>
    <numFmt numFmtId="167" formatCode="&quot;$&quot;0.00"/>
    <numFmt numFmtId="168" formatCode="#,##0.00;(#,##0.00)"/>
    <numFmt numFmtId="169" formatCode="0.00&quot;x&quot;"/>
    <numFmt numFmtId="170" formatCode="0.0000"/>
    <numFmt numFmtId="171" formatCode="#,##0.0"/>
    <numFmt numFmtId="172" formatCode="0.000000"/>
    <numFmt numFmtId="173" formatCode="[&gt;9000]&quot;n/a&quot;;0.00&quot;x&quot;"/>
    <numFmt numFmtId="174" formatCode="#,##0&quot; bps&quot;"/>
  </numFmts>
  <fonts count="14">
    <font>
      <name val="Calibri"/>
      <family val="2"/>
      <color theme="1"/>
      <sz val="11"/>
      <scheme val="minor"/>
    </font>
    <font>
      <name val="Calibri"/>
      <b val="1"/>
      <color rgb="001B1813"/>
      <sz val="16"/>
    </font>
    <font>
      <name val="Calibri"/>
      <color rgb="00595959"/>
      <sz val="10"/>
    </font>
    <font>
      <name val="Calibri"/>
      <b val="1"/>
      <color rgb="00B54607"/>
      <sz val="11"/>
    </font>
    <font>
      <name val="Calibri"/>
      <i val="1"/>
      <color rgb="00595959"/>
      <sz val="9"/>
    </font>
    <font>
      <name val="Calibri"/>
      <b val="1"/>
      <color rgb="001B1813"/>
      <sz val="11"/>
    </font>
    <font>
      <name val="Calibri"/>
      <sz val="10"/>
    </font>
    <font>
      <name val="Calibri"/>
      <b val="1"/>
      <color rgb="00FFFFFF"/>
      <sz val="10"/>
    </font>
    <font>
      <name val="Calibri"/>
      <color rgb="00B54607"/>
      <sz val="10"/>
    </font>
    <font>
      <name val="Calibri"/>
      <b val="1"/>
      <sz val="10"/>
    </font>
    <font>
      <name val="Calibri"/>
      <b val="1"/>
      <color rgb="00B54607"/>
      <sz val="10"/>
    </font>
    <font>
      <name val="Calibri"/>
      <color rgb="00000000"/>
      <sz val="10"/>
    </font>
    <font>
      <name val="Calibri"/>
      <sz val="9"/>
    </font>
    <font>
      <name val="Calibri"/>
      <b val="1"/>
      <color rgb="00B54607"/>
      <sz val="9"/>
    </font>
  </fonts>
  <fills count="6">
    <fill>
      <patternFill/>
    </fill>
    <fill>
      <patternFill patternType="gray125"/>
    </fill>
    <fill>
      <patternFill patternType="solid">
        <fgColor rgb="001B1813"/>
      </patternFill>
    </fill>
    <fill>
      <patternFill patternType="solid">
        <fgColor rgb="00FFF3E8"/>
      </patternFill>
    </fill>
    <fill>
      <patternFill patternType="solid">
        <fgColor rgb="00F2EDE3"/>
      </patternFill>
    </fill>
    <fill>
      <patternFill patternType="solid">
        <fgColor rgb="00FAF7F2"/>
      </patternFill>
    </fill>
  </fills>
  <borders count="5">
    <border>
      <left/>
      <right/>
      <top/>
      <bottom/>
      <diagonal/>
    </border>
    <border>
      <bottom style="medium">
        <color rgb="00B54607"/>
      </bottom>
    </border>
    <border>
      <left style="thin">
        <color rgb="00D9D2C5"/>
      </left>
      <right style="thin">
        <color rgb="00D9D2C5"/>
      </right>
      <top style="thin">
        <color rgb="00D9D2C5"/>
      </top>
      <bottom style="thin">
        <color rgb="00D9D2C5"/>
      </bottom>
    </border>
    <border>
      <bottom style="thin">
        <color rgb="00D9D2C5"/>
      </bottom>
    </border>
    <border>
      <top style="thin">
        <color rgb="001B1813"/>
      </top>
    </border>
  </borders>
  <cellStyleXfs count="1">
    <xf numFmtId="0" fontId="0" fillId="0" borderId="0"/>
  </cellStyleXfs>
  <cellXfs count="92">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0" fillId="0" borderId="1" pivotButton="0" quotePrefix="0" xfId="0"/>
    <xf numFmtId="0" fontId="10" fillId="4" borderId="0" pivotButton="0" quotePrefix="0" xfId="0"/>
    <xf numFmtId="0" fontId="0" fillId="4" borderId="0" pivotButton="0" quotePrefix="0" xfId="0"/>
    <xf numFmtId="0" fontId="6" fillId="0" borderId="0" pivotButton="0" quotePrefix="0" xfId="0"/>
    <xf numFmtId="0" fontId="8" fillId="3" borderId="0" applyAlignment="1" pivotButton="0" quotePrefix="0" xfId="0">
      <alignment horizontal="left"/>
    </xf>
    <xf numFmtId="3" fontId="8" fillId="3" borderId="0" applyAlignment="1" pivotButton="0" quotePrefix="0" xfId="0">
      <alignment horizontal="right"/>
    </xf>
    <xf numFmtId="3" fontId="6" fillId="0" borderId="0" applyAlignment="1" pivotButton="0" quotePrefix="0" xfId="0">
      <alignment horizontal="right"/>
    </xf>
    <xf numFmtId="0" fontId="4" fillId="0" borderId="0" applyAlignment="1" pivotButton="0" quotePrefix="0" xfId="0">
      <alignment horizontal="left"/>
    </xf>
    <xf numFmtId="165" fontId="8" fillId="3" borderId="0" applyAlignment="1" pivotButton="0" quotePrefix="0" xfId="0">
      <alignment horizontal="right"/>
    </xf>
    <xf numFmtId="165" fontId="6" fillId="0" borderId="0" applyAlignment="1" pivotButton="0" quotePrefix="0" xfId="0">
      <alignment horizontal="right"/>
    </xf>
    <xf numFmtId="167" fontId="6" fillId="0" borderId="0" applyAlignment="1" pivotButton="0" quotePrefix="0" xfId="0">
      <alignment horizontal="right"/>
    </xf>
    <xf numFmtId="10" fontId="8" fillId="3" borderId="0" applyAlignment="1" pivotButton="0" quotePrefix="0" xfId="0">
      <alignment horizontal="right"/>
    </xf>
    <xf numFmtId="0" fontId="7" fillId="2" borderId="0" applyAlignment="1" pivotButton="0" quotePrefix="0" xfId="0">
      <alignment horizontal="left"/>
    </xf>
    <xf numFmtId="0" fontId="7" fillId="2" borderId="0" applyAlignment="1" pivotButton="0" quotePrefix="0" xfId="0">
      <alignment horizontal="center"/>
    </xf>
    <xf numFmtId="168" fontId="8" fillId="3" borderId="0" applyAlignment="1" pivotButton="0" quotePrefix="0" xfId="0">
      <alignment horizontal="right"/>
    </xf>
    <xf numFmtId="0" fontId="8" fillId="3" borderId="0" applyAlignment="1" pivotButton="0" quotePrefix="0" xfId="0">
      <alignment horizontal="center"/>
    </xf>
    <xf numFmtId="0" fontId="9" fillId="0" borderId="0" pivotButton="0" quotePrefix="0" xfId="0"/>
    <xf numFmtId="165" fontId="9" fillId="0" borderId="0" applyAlignment="1" pivotButton="0" quotePrefix="0" xfId="0">
      <alignment horizontal="right"/>
    </xf>
    <xf numFmtId="164" fontId="8" fillId="3" borderId="0" applyAlignment="1" pivotButton="0" quotePrefix="0" xfId="0">
      <alignment horizontal="right"/>
    </xf>
    <xf numFmtId="166" fontId="8" fillId="3" borderId="0" applyAlignment="1" pivotButton="0" quotePrefix="0" xfId="0">
      <alignment horizontal="right"/>
    </xf>
    <xf numFmtId="164" fontId="6" fillId="0" borderId="0" applyAlignment="1" pivotButton="0" quotePrefix="0" xfId="0">
      <alignment horizontal="right"/>
    </xf>
    <xf numFmtId="169" fontId="8" fillId="3" borderId="0" applyAlignment="1" pivotButton="0" quotePrefix="0" xfId="0">
      <alignment horizontal="right"/>
    </xf>
    <xf numFmtId="0" fontId="7" fillId="2" borderId="2" applyAlignment="1" pivotButton="0" quotePrefix="0" xfId="0">
      <alignment horizontal="left"/>
    </xf>
    <xf numFmtId="0" fontId="7" fillId="2" borderId="2" applyAlignment="1" pivotButton="0" quotePrefix="0" xfId="0">
      <alignment horizontal="center"/>
    </xf>
    <xf numFmtId="0" fontId="8" fillId="3" borderId="3" applyAlignment="1" pivotButton="0" quotePrefix="0" xfId="0">
      <alignment horizontal="left"/>
    </xf>
    <xf numFmtId="3" fontId="8" fillId="3" borderId="3" applyAlignment="1" pivotButton="0" quotePrefix="0" xfId="0">
      <alignment horizontal="right"/>
    </xf>
    <xf numFmtId="3" fontId="6" fillId="0" borderId="3" applyAlignment="1" pivotButton="0" quotePrefix="0" xfId="0">
      <alignment horizontal="right"/>
    </xf>
    <xf numFmtId="164" fontId="8" fillId="3" borderId="3" applyAlignment="1" pivotButton="0" quotePrefix="0" xfId="0">
      <alignment horizontal="right"/>
    </xf>
    <xf numFmtId="165" fontId="6" fillId="0" borderId="3" applyAlignment="1" pivotButton="0" quotePrefix="0" xfId="0">
      <alignment horizontal="right"/>
    </xf>
    <xf numFmtId="166" fontId="6" fillId="0" borderId="3" applyAlignment="1" pivotButton="0" quotePrefix="0" xfId="0">
      <alignment horizontal="right"/>
    </xf>
    <xf numFmtId="167" fontId="6" fillId="0" borderId="3" applyAlignment="1" pivotButton="0" quotePrefix="0" xfId="0">
      <alignment horizontal="right"/>
    </xf>
    <xf numFmtId="164" fontId="6" fillId="0" borderId="3" applyAlignment="1" pivotButton="0" quotePrefix="0" xfId="0">
      <alignment horizontal="right"/>
    </xf>
    <xf numFmtId="0" fontId="9" fillId="4" borderId="0" pivotButton="0" quotePrefix="0" xfId="0"/>
    <xf numFmtId="3" fontId="9" fillId="4" borderId="0" applyAlignment="1" pivotButton="0" quotePrefix="0" xfId="0">
      <alignment horizontal="right"/>
    </xf>
    <xf numFmtId="164" fontId="9" fillId="4" borderId="0" applyAlignment="1" pivotButton="0" quotePrefix="0" xfId="0">
      <alignment horizontal="right"/>
    </xf>
    <xf numFmtId="165" fontId="9" fillId="4" borderId="0" applyAlignment="1" pivotButton="0" quotePrefix="0" xfId="0">
      <alignment horizontal="right"/>
    </xf>
    <xf numFmtId="166" fontId="9" fillId="4" borderId="0" applyAlignment="1" pivotButton="0" quotePrefix="0" xfId="0">
      <alignment horizontal="right"/>
    </xf>
    <xf numFmtId="167" fontId="9" fillId="4" borderId="0" applyAlignment="1" pivotButton="0" quotePrefix="0" xfId="0">
      <alignment horizontal="right"/>
    </xf>
    <xf numFmtId="3" fontId="9" fillId="0" borderId="0" applyAlignment="1" pivotButton="0" quotePrefix="0" xfId="0">
      <alignment horizontal="right"/>
    </xf>
    <xf numFmtId="166" fontId="9" fillId="0" borderId="0" applyAlignment="1" pivotButton="0" quotePrefix="0" xfId="0">
      <alignment horizontal="right"/>
    </xf>
    <xf numFmtId="164" fontId="9" fillId="0" borderId="0" applyAlignment="1" pivotButton="0" quotePrefix="0" xfId="0">
      <alignment horizontal="right"/>
    </xf>
    <xf numFmtId="167" fontId="9" fillId="0" borderId="0" applyAlignment="1" pivotButton="0" quotePrefix="0" xfId="0">
      <alignment horizontal="right"/>
    </xf>
    <xf numFmtId="166" fontId="6" fillId="0" borderId="0" applyAlignment="1" pivotButton="0" quotePrefix="0" xfId="0">
      <alignment horizontal="right"/>
    </xf>
    <xf numFmtId="0" fontId="9" fillId="0" borderId="4" pivotButton="0" quotePrefix="0" xfId="0"/>
    <xf numFmtId="0" fontId="0" fillId="0" borderId="4" pivotButton="0" quotePrefix="0" xfId="0"/>
    <xf numFmtId="165" fontId="9" fillId="0" borderId="4" applyAlignment="1" pivotButton="0" quotePrefix="0" xfId="0">
      <alignment horizontal="right"/>
    </xf>
    <xf numFmtId="166" fontId="9" fillId="0" borderId="4" applyAlignment="1" pivotButton="0" quotePrefix="0" xfId="0">
      <alignment horizontal="right"/>
    </xf>
    <xf numFmtId="0" fontId="4" fillId="0" borderId="0" applyAlignment="1" pivotButton="0" quotePrefix="0" xfId="0">
      <alignment horizontal="right"/>
    </xf>
    <xf numFmtId="0" fontId="7" fillId="2" borderId="0" pivotButton="0" quotePrefix="0" xfId="0"/>
    <xf numFmtId="170" fontId="4" fillId="0" borderId="0" applyAlignment="1" pivotButton="0" quotePrefix="0" xfId="0">
      <alignment horizontal="right"/>
    </xf>
    <xf numFmtId="3" fontId="4" fillId="0" borderId="0" applyAlignment="1" pivotButton="0" quotePrefix="0" xfId="0">
      <alignment horizontal="right"/>
    </xf>
    <xf numFmtId="171" fontId="6" fillId="0" borderId="0" applyAlignment="1" pivotButton="0" quotePrefix="0" xfId="0">
      <alignment horizontal="right"/>
    </xf>
    <xf numFmtId="166" fontId="4" fillId="0" borderId="0" applyAlignment="1" pivotButton="0" quotePrefix="0" xfId="0">
      <alignment horizontal="right"/>
    </xf>
    <xf numFmtId="165" fontId="9" fillId="5" borderId="0" applyAlignment="1" pivotButton="0" quotePrefix="0" xfId="0">
      <alignment horizontal="right"/>
    </xf>
    <xf numFmtId="165" fontId="9" fillId="4" borderId="4" applyAlignment="1" pivotButton="0" quotePrefix="0" xfId="0">
      <alignment horizontal="right"/>
    </xf>
    <xf numFmtId="165" fontId="4" fillId="0" borderId="0" applyAlignment="1" pivotButton="0" quotePrefix="0" xfId="0">
      <alignment horizontal="right"/>
    </xf>
    <xf numFmtId="0" fontId="6" fillId="5" borderId="0" pivotButton="0" quotePrefix="0" xfId="0"/>
    <xf numFmtId="169" fontId="4" fillId="0" borderId="0" applyAlignment="1" pivotButton="0" quotePrefix="0" xfId="0">
      <alignment horizontal="right"/>
    </xf>
    <xf numFmtId="10" fontId="4" fillId="0" borderId="0" applyAlignment="1" pivotButton="0" quotePrefix="0" xfId="0">
      <alignment horizontal="right"/>
    </xf>
    <xf numFmtId="10" fontId="6" fillId="0" borderId="0" applyAlignment="1" pivotButton="0" quotePrefix="0" xfId="0">
      <alignment horizontal="right"/>
    </xf>
    <xf numFmtId="0" fontId="11" fillId="0" borderId="0" applyAlignment="1" pivotButton="0" quotePrefix="0" xfId="0">
      <alignment horizontal="right"/>
    </xf>
    <xf numFmtId="169" fontId="6" fillId="0" borderId="0" applyAlignment="1" pivotButton="0" quotePrefix="0" xfId="0">
      <alignment horizontal="right"/>
    </xf>
    <xf numFmtId="0" fontId="6" fillId="0" borderId="0" applyAlignment="1" pivotButton="0" quotePrefix="0" xfId="0">
      <alignment horizontal="center"/>
    </xf>
    <xf numFmtId="172" fontId="6" fillId="0" borderId="0" applyAlignment="1" pivotButton="0" quotePrefix="0" xfId="0">
      <alignment horizontal="right"/>
    </xf>
    <xf numFmtId="0" fontId="12" fillId="0" borderId="0" applyAlignment="1" pivotButton="0" quotePrefix="0" xfId="0">
      <alignment horizontal="center"/>
    </xf>
    <xf numFmtId="165" fontId="12" fillId="0" borderId="0" applyAlignment="1" pivotButton="0" quotePrefix="0" xfId="0">
      <alignment horizontal="right"/>
    </xf>
    <xf numFmtId="0" fontId="13" fillId="0" borderId="0" applyAlignment="1" pivotButton="0" quotePrefix="0" xfId="0">
      <alignment vertical="top" wrapText="1"/>
    </xf>
    <xf numFmtId="173" fontId="6" fillId="0" borderId="0" applyAlignment="1" pivotButton="0" quotePrefix="0" xfId="0">
      <alignment horizontal="right"/>
    </xf>
    <xf numFmtId="10" fontId="9" fillId="4" borderId="0" applyAlignment="1" pivotButton="0" quotePrefix="0" xfId="0">
      <alignment horizontal="right"/>
    </xf>
    <xf numFmtId="169" fontId="9" fillId="4" borderId="0" applyAlignment="1" pivotButton="0" quotePrefix="0" xfId="0">
      <alignment horizontal="right"/>
    </xf>
    <xf numFmtId="174" fontId="6" fillId="0" borderId="0" applyAlignment="1" pivotButton="0" quotePrefix="0" xfId="0">
      <alignment horizontal="right"/>
    </xf>
    <xf numFmtId="0" fontId="11" fillId="0" borderId="0" applyAlignment="1" pivotButton="0" quotePrefix="0" xfId="0">
      <alignment horizontal="center"/>
    </xf>
    <xf numFmtId="0" fontId="10" fillId="0" borderId="0" pivotButton="0" quotePrefix="0" xfId="0"/>
    <xf numFmtId="10" fontId="7" fillId="2" borderId="2" applyAlignment="1" pivotButton="0" quotePrefix="0" xfId="0">
      <alignment horizontal="center"/>
    </xf>
    <xf numFmtId="10" fontId="9" fillId="4" borderId="2" applyAlignment="1" pivotButton="0" quotePrefix="0" xfId="0">
      <alignment horizontal="center"/>
    </xf>
    <xf numFmtId="166" fontId="6" fillId="0" borderId="2" applyAlignment="1" pivotButton="0" quotePrefix="0" xfId="0">
      <alignment horizontal="right"/>
    </xf>
    <xf numFmtId="165" fontId="7" fillId="2" borderId="2" applyAlignment="1" pivotButton="0" quotePrefix="0" xfId="0">
      <alignment horizontal="center"/>
    </xf>
    <xf numFmtId="169" fontId="6" fillId="0" borderId="2" applyAlignment="1" pivotButton="0" quotePrefix="0" xfId="0">
      <alignment horizontal="right"/>
    </xf>
    <xf numFmtId="170" fontId="6" fillId="0" borderId="0" applyAlignment="1" pivotButton="0" quotePrefix="0" xfId="0">
      <alignment horizontal="right"/>
    </xf>
    <xf numFmtId="0" fontId="6" fillId="0" borderId="3" pivotButton="0" quotePrefix="0" xfId="0"/>
    <xf numFmtId="0" fontId="11" fillId="0" borderId="3" applyAlignment="1" pivotButton="0" quotePrefix="0" xfId="0">
      <alignment horizontal="center"/>
    </xf>
    <xf numFmtId="0" fontId="4" fillId="0" borderId="3" applyAlignment="1" pivotButton="0" quotePrefix="0" xfId="0">
      <alignment vertical="top" wrapText="1"/>
    </xf>
    <xf numFmtId="169" fontId="6" fillId="0" borderId="3" applyAlignment="1" pivotButton="0" quotePrefix="0" xfId="0">
      <alignment horizontal="right"/>
    </xf>
    <xf numFmtId="10" fontId="6" fillId="0" borderId="3" applyAlignment="1" pivotButton="0" quotePrefix="0" xfId="0">
      <alignment horizontal="right"/>
    </xf>
    <xf numFmtId="174" fontId="6"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B54607"/>
    <outlinePr summaryBelow="1" summaryRight="1"/>
    <pageSetUpPr fitToPage="1"/>
  </sheetPr>
  <dimension ref="B2:B46"/>
  <sheetViews>
    <sheetView showGridLines="0" workbookViewId="0">
      <pane ySplit="5" topLeftCell="A6" activePane="bottomLeft" state="frozen"/>
      <selection pane="bottomLeft" activeCell="A1" sqref="A1"/>
    </sheetView>
  </sheetViews>
  <sheetFormatPr baseColWidth="8" defaultRowHeight="15"/>
  <cols>
    <col width="3" customWidth="1" min="1" max="1"/>
    <col width="104" customWidth="1" min="2" max="2"/>
  </cols>
  <sheetData>
    <row r="2">
      <c r="B2" s="1" t="inlineStr">
        <is>
          <t>Multifamily Underwriting Model</t>
        </is>
      </c>
    </row>
    <row r="3">
      <c r="B3" s="2" t="inlineStr">
        <is>
          <t>A free, open, fully formula-driven acquisition model. Nothing is locked and nothing is hidden.</t>
        </is>
      </c>
    </row>
    <row r="4">
      <c r="B4" s="3" t="inlineStr">
        <is>
          <t>Altyst</t>
        </is>
      </c>
    </row>
    <row r="5">
      <c r="B5" s="4" t="inlineStr">
        <is>
          <t>altyst.ai</t>
        </is>
      </c>
    </row>
    <row r="8">
      <c r="B8" s="5" t="inlineStr">
        <is>
          <t>What this is</t>
        </is>
      </c>
    </row>
    <row r="9" ht="42" customHeight="1">
      <c r="B9" s="6" t="inlineStr">
        <is>
          <t>A working ten-year multifamily acquisition model. Rent roll, T-12 normalization, operating pro forma, debt sizing on three constraints, sources and uses, unlevered and levered cash flow, IRR, equity multiple, and three two-way sensitivity grids.</t>
        </is>
      </c>
    </row>
    <row r="10" ht="28" customHeight="1">
      <c r="B10" s="6" t="inlineStr">
        <is>
          <t>Every cell you see is either an input or a live formula. There are no hardcoded results, no protected sheets, no hidden tabs, and no add-in. Open it, delete the example deal, and use it.</t>
        </is>
      </c>
    </row>
    <row r="12">
      <c r="B12" s="5" t="inlineStr">
        <is>
          <t>The colour rule</t>
        </is>
      </c>
    </row>
    <row r="13" ht="28" customHeight="1">
      <c r="B13" s="6" t="inlineStr">
        <is>
          <t>Orange on a pale background is an INPUT. Type over it. Black is a FORMULA. If you overwrite a black cell you have broken a link, so undo it.</t>
        </is>
      </c>
    </row>
    <row r="15">
      <c r="B15" s="5" t="inlineStr">
        <is>
          <t>Where to start</t>
        </is>
      </c>
    </row>
    <row r="16" ht="28" customHeight="1">
      <c r="B16" s="6" t="inlineStr">
        <is>
          <t>1. Rent Roll. Replace the unit mix with yours. Everything downstream keys off unit count, square footage, in-place rent and market rent.</t>
        </is>
      </c>
    </row>
    <row r="17" ht="56" customHeight="1">
      <c r="B17" s="6" t="inlineStr">
        <is>
          <t>2. T12. Paste the trailing twelve months of operating expenses into the actual column. If you only have six months, put 6 in the months column and the sheet annualizes it. Then write your adjustments: the tax reassessment, the insurance quote you actually got, the payroll you will actually run.</t>
        </is>
      </c>
    </row>
    <row r="18" ht="28" customHeight="1">
      <c r="B18" s="6" t="inlineStr">
        <is>
          <t>3. Assumptions. Price, growth, vacancy, other income, renovation, debt terms, exit, and your own return hurdles.</t>
        </is>
      </c>
    </row>
    <row r="19" ht="28" customHeight="1">
      <c r="B19" s="6" t="inlineStr">
        <is>
          <t>4. Pro Forma. Set the renovation schedule, the loss-to-lease capture and any other capital expenditure by year. Those three rows are the only year-by-year inputs in the model.</t>
        </is>
      </c>
    </row>
    <row r="20" ht="14" customHeight="1">
      <c r="B20" s="6" t="inlineStr">
        <is>
          <t>5. Returns and Sensitivity. Read the answer. Checks tells you if anything does not tie.</t>
        </is>
      </c>
    </row>
    <row r="22">
      <c r="B22" s="5" t="inlineStr">
        <is>
          <t>The conventions this model uses, and why</t>
        </is>
      </c>
    </row>
    <row r="23" ht="84" customHeight="1">
      <c r="B23" s="6" t="inlineStr">
        <is>
          <t>REVENUE STACK. Gross potential rent is stated at MARKET rent for every unit, including vacant ones. Loss to lease is then deducted to get to gross scheduled rent, which is what the current leases actually say. Agency and institutional templates are usually built this way because it puts the mark-to-market on its own line instead of burying it inside an occupancy assumption. If your house convention starts from in-place rent, the arithmetic still ties, but loss to lease stops being visible.</t>
        </is>
      </c>
    </row>
    <row r="24" ht="56" customHeight="1">
      <c r="B24" s="6" t="inlineStr">
        <is>
          <t>VACANCY, CONCESSIONS AND NON-REVENUE UNITS are taken against gross potential rent plus the renovation premium. BAD DEBT is taken against collectible rent, which is gross scheduled rent after vacancy, concessions and non-revenue units. Charging bad debt on rent you were never going to collect double counts the loss.</t>
        </is>
      </c>
    </row>
    <row r="25" ht="70" customHeight="1">
      <c r="B25" s="6" t="inlineStr">
        <is>
          <t>RENOVATION PREMIUM is measured against MARKET rent, not against in-place rent. Loss-to-lease capture is the mark-to-market on leases you are not renovating. If you measure the premium against in-place rent and also capture loss to lease, you have counted the same dollar twice. The Pro Forma shows the minimum capture implied by your renovation schedule, and Checks flags you if your capture input is below it.</t>
        </is>
      </c>
    </row>
    <row r="26" ht="42" customHeight="1">
      <c r="B26" s="6" t="inlineStr">
        <is>
          <t>MANAGEMENT FEE is a percentage of effective gross income, so it is computed each year rather than grown. Growing a management fee at an expense inflation rate quietly decouples it from revenue.</t>
        </is>
      </c>
    </row>
    <row r="27" ht="112" customHeight="1">
      <c r="B27" s="6" t="inlineStr">
        <is>
          <t>REPLACEMENT RESERVES sit below the NOI line. Lenders underwrite them above the line; buyers and appraisers usually do not. Keeping them below NOI means the going-in cap rate you quote is the one a broker will recognise. If your lender wants them above the line, move the reserve number into the T12 expense block AND set the per-unit reserve on Assumptions, cell B53, to zero. Leave both in and you charge the reserve twice, once inside NOI and once below it, and the copy inside NOI also shrinks the loan the model sizes and the forward NOI the exit value capitalizes. No check can catch that for you. Once the reserve is folded into an expense line it looks like any other expense, so zeroing B53 is on you.</t>
        </is>
      </c>
    </row>
    <row r="28" ht="70" customHeight="1">
      <c r="B28" s="6" t="inlineStr">
        <is>
          <t>DEBT SIZING runs three tests at once: loan to value, minimum debt service coverage at a stress rate, and minimum debt yield. The loan is the smallest of the tests you switch on, and the Debt tab names the binding constraint. Switch off the tests your lender does not run. On the example deal the binding test is coverage rather than leverage, which is common on value-add but not a rule.</t>
        </is>
      </c>
    </row>
    <row r="29" ht="98" customHeight="1">
      <c r="B29" s="6" t="inlineStr">
        <is>
          <t>AMORTIZATION. The level payment is sized on the FULL amortization term, starting when amortization starts. A 24-month interest-only period followed by a 30-year amortization sizes the payment on 360 months, and on a seven-year loan the balloon lands with 25 years of amortization still to run. Netting the interest-only months out of the term instead sizes the payment on 336 months, which at the 6.15 percent coupon in the example overstates the payment by 2.5 percent and understates coverage in every year after interest-only ends. The size of that error moves with the rate.</t>
        </is>
      </c>
    </row>
    <row r="30" ht="42" customHeight="1">
      <c r="B30" s="6" t="inlineStr">
        <is>
          <t>EXIT VALUE capitalizes the FORWARD NOI, the year after you sell, not the last year you own it. A buyer prices the next twelve months. This is why the model projects eleven years for a ten-year hold, and the eleventh column is shaded as exit basis only.</t>
        </is>
      </c>
    </row>
    <row r="31" ht="56" customHeight="1">
      <c r="B31" s="6" t="inlineStr">
        <is>
          <t>DEBT YIELD appears twice on purpose. Going-in debt yield is year-one NOI over the original loan amount, an origination metric measured at close. The per-year debt yield on the Pro Forma divides by that year's ending balance, which is the operating metric. They are different numbers and both are correct.</t>
        </is>
      </c>
    </row>
    <row r="32" ht="42" customHeight="1">
      <c r="B32" s="6" t="inlineStr">
        <is>
          <t>EQUITY MULTIPLE is total distributions divided by total invested, where an interim negative cash flow counts as additional capital in rather than a reduced distribution. On a deal that never calls capital after close this equals the familiar sum of distributions over initial equity.</t>
        </is>
      </c>
    </row>
    <row r="33" ht="42" customHeight="1">
      <c r="B33" s="6" t="inlineStr">
        <is>
          <t>IRR is computed over years zero through ten. Years past your hold period are zero, and adding zero cash flows to the end of a vector does not move the IRR, so you can shorten the hold without re-pointing a single range.</t>
        </is>
      </c>
    </row>
    <row r="35">
      <c r="B35" s="5" t="inlineStr">
        <is>
          <t>The sensitivity grids</t>
        </is>
      </c>
    </row>
    <row r="36" ht="84" customHeight="1">
      <c r="B36" s="6" t="inlineStr">
        <is>
          <t>Sens Calc rebuilds the entire levered cash flow for each of fifty scenarios. It is visible and unprotected so you can audit it. The rent-growth grid works because every rental line in the stack is proportional to the rent growth factor, so a scenario is an exact rescaling rather than an approximation. Other income carries its own growth rate and is rebuilt separately. The purchase-price grid works because debt service and loan balance are exactly linear in loan amount at a fixed rate and term.</t>
        </is>
      </c>
    </row>
    <row r="38">
      <c r="B38" s="5" t="inlineStr">
        <is>
          <t>What this model deliberately does not do</t>
        </is>
      </c>
    </row>
    <row r="39" ht="42" customHeight="1">
      <c r="B39" s="6" t="inlineStr">
        <is>
          <t>No partnership waterfall, no after-tax layer, no unit-level lease expiry schedule, no bridge-to-refi, no development budget, and no mezzanine. Those belong in a bigger model. This one is meant to be the screen you run before you build the bigger model.</t>
        </is>
      </c>
    </row>
    <row r="41">
      <c r="B41" s="5" t="inlineStr">
        <is>
          <t>If you want to stop maintaining this</t>
        </is>
      </c>
    </row>
    <row r="42" ht="70" customHeight="1">
      <c r="B42" s="6" t="inlineStr">
        <is>
          <t>Altyst builds this model from the offering memorandum, the rent roll, the T-12 and the lender quote, across multifamily, office, retail, industrial, mixed use, self storage, hotel and land. Every extracted value is flagged for your review with its source and confidence, and you can override any of them. The arithmetic is the same, computed in exact decimal by tested code rather than by a language model. altyst.ai</t>
        </is>
      </c>
    </row>
    <row r="44">
      <c r="B44" s="5" t="inlineStr">
        <is>
          <t>Terms</t>
        </is>
      </c>
    </row>
    <row r="45" ht="42" customHeight="1">
      <c r="B45" s="6" t="inlineStr">
        <is>
          <t>Use it, edit it, send it to whoever you like. No attribution required. Provided as is, without warranty of any kind. You are responsible for the assumptions you put in it and the decisions you take from it.</t>
        </is>
      </c>
    </row>
    <row r="46" ht="28" customHeight="1">
      <c r="B46" s="6" t="inlineStr">
        <is>
          <t>Altyst produces model outputs for screening and analysis. It is not investment, legal, tax, appraisal, or brokerage advice, and it does not guarantee accuracy or returns.</t>
        </is>
      </c>
    </row>
  </sheetData>
  <pageMargins left="0.4" right="0.4" top="0.5" bottom="0.5" header="0.5" footer="0.5"/>
  <pageSetup orientation="portrait" fitToHeight="0" fitToWidth="1"/>
  <headerFooter>
    <oddHeader/>
    <oddFooter>&amp;L&amp;8 &amp;K808080Altyst multifamily underwriting model&amp;R&amp;8 &amp;K808080Page &amp;P of &amp;N</oddFooter>
    <evenHeader/>
    <evenFooter/>
    <firstHeader/>
    <firstFooter/>
  </headerFooter>
</worksheet>
</file>

<file path=xl/worksheets/sheet10.xml><?xml version="1.0" encoding="utf-8"?>
<worksheet xmlns="http://schemas.openxmlformats.org/spreadsheetml/2006/main">
  <sheetPr>
    <outlinePr summaryBelow="1" summaryRight="1"/>
    <pageSetUpPr/>
  </sheetPr>
  <dimension ref="A1:Z91"/>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40" customWidth="1" min="1" max="1"/>
    <col width="12"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 width="12" customWidth="1" min="14" max="14"/>
    <col width="12" customWidth="1" min="15" max="15"/>
    <col width="12" customWidth="1" min="16" max="16"/>
    <col width="12" customWidth="1" min="17" max="17"/>
    <col width="12"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 width="12" customWidth="1" min="26" max="26"/>
  </cols>
  <sheetData>
    <row r="1">
      <c r="A1" s="1" t="inlineStr">
        <is>
          <t>Sensitivity Engine</t>
        </is>
      </c>
    </row>
    <row r="2">
      <c r="A2" s="2" t="inlineStr">
        <is>
          <t>Fifty full rebuilds of the levered cash flow. Visible and unprotected so you can audit it.</t>
        </is>
      </c>
    </row>
    <row r="3">
      <c r="A3" s="7" t="n"/>
      <c r="B3" s="7" t="n"/>
      <c r="C3" s="7" t="n"/>
      <c r="D3" s="7" t="n"/>
      <c r="E3" s="7" t="n"/>
      <c r="F3" s="7" t="n"/>
      <c r="G3" s="7" t="n"/>
      <c r="H3" s="7" t="n"/>
      <c r="I3" s="7" t="n"/>
      <c r="J3" s="7" t="n"/>
      <c r="K3" s="7" t="n"/>
      <c r="L3" s="7" t="n"/>
      <c r="M3" s="7" t="n"/>
      <c r="N3" s="7" t="n"/>
      <c r="O3" s="7" t="n"/>
      <c r="P3" s="7" t="n"/>
      <c r="Q3" s="7" t="n"/>
      <c r="R3" s="7" t="n"/>
      <c r="S3" s="7" t="n"/>
      <c r="T3" s="7" t="n"/>
      <c r="U3" s="7" t="n"/>
      <c r="V3" s="7" t="n"/>
      <c r="W3" s="7" t="n"/>
      <c r="X3" s="7" t="n"/>
      <c r="Y3" s="7" t="n"/>
      <c r="Z3" s="7" t="n"/>
    </row>
    <row r="4">
      <c r="A4" s="79" t="inlineStr">
        <is>
          <t>BLOCK 1: rent growth scenarios</t>
        </is>
      </c>
    </row>
    <row r="5">
      <c r="A5" s="10" t="inlineStr">
        <is>
          <t>Rent growth</t>
        </is>
      </c>
      <c r="B5" s="66">
        <f>'Assumptions'!$B$26+(-2)*'Assumptions'!$B$90</f>
        <v/>
      </c>
      <c r="C5" s="66">
        <f>'Assumptions'!$B$26+(-1)*'Assumptions'!$B$90</f>
        <v/>
      </c>
      <c r="D5" s="66">
        <f>'Assumptions'!$B$26+(0)*'Assumptions'!$B$90</f>
        <v/>
      </c>
      <c r="E5" s="66">
        <f>'Assumptions'!$B$26+(1)*'Assumptions'!$B$90</f>
        <v/>
      </c>
      <c r="F5" s="66">
        <f>'Assumptions'!$B$26+(2)*'Assumptions'!$B$90</f>
        <v/>
      </c>
    </row>
    <row r="6">
      <c r="A6" s="4" t="inlineStr">
        <is>
          <t>NOI by year under each growth rate</t>
        </is>
      </c>
    </row>
    <row r="7">
      <c r="A7" s="10" t="inlineStr">
        <is>
          <t>NOI year 1</t>
        </is>
      </c>
      <c r="B7" s="16">
        <f>('Pro Forma'!B$27*((1+B$5)/(1+'Assumptions'!$B$26))^0+'Pro Forma'!B$28)*(1-'Assumptions'!$B$52)-'Pro Forma'!B$42</f>
        <v/>
      </c>
      <c r="C7" s="16">
        <f>('Pro Forma'!B$27*((1+C$5)/(1+'Assumptions'!$B$26))^0+'Pro Forma'!B$28)*(1-'Assumptions'!$B$52)-'Pro Forma'!B$42</f>
        <v/>
      </c>
      <c r="D7" s="16">
        <f>('Pro Forma'!B$27*((1+D$5)/(1+'Assumptions'!$B$26))^0+'Pro Forma'!B$28)*(1-'Assumptions'!$B$52)-'Pro Forma'!B$42</f>
        <v/>
      </c>
      <c r="E7" s="16">
        <f>('Pro Forma'!B$27*((1+E$5)/(1+'Assumptions'!$B$26))^0+'Pro Forma'!B$28)*(1-'Assumptions'!$B$52)-'Pro Forma'!B$42</f>
        <v/>
      </c>
      <c r="F7" s="16">
        <f>('Pro Forma'!B$27*((1+F$5)/(1+'Assumptions'!$B$26))^0+'Pro Forma'!B$28)*(1-'Assumptions'!$B$52)-'Pro Forma'!B$42</f>
        <v/>
      </c>
    </row>
    <row r="8">
      <c r="A8" s="10" t="inlineStr">
        <is>
          <t>NOI year 2</t>
        </is>
      </c>
      <c r="B8" s="16">
        <f>('Pro Forma'!C$27*((1+B$5)/(1+'Assumptions'!$B$26))^1+'Pro Forma'!C$28)*(1-'Assumptions'!$B$52)-'Pro Forma'!C$42</f>
        <v/>
      </c>
      <c r="C8" s="16">
        <f>('Pro Forma'!C$27*((1+C$5)/(1+'Assumptions'!$B$26))^1+'Pro Forma'!C$28)*(1-'Assumptions'!$B$52)-'Pro Forma'!C$42</f>
        <v/>
      </c>
      <c r="D8" s="16">
        <f>('Pro Forma'!C$27*((1+D$5)/(1+'Assumptions'!$B$26))^1+'Pro Forma'!C$28)*(1-'Assumptions'!$B$52)-'Pro Forma'!C$42</f>
        <v/>
      </c>
      <c r="E8" s="16">
        <f>('Pro Forma'!C$27*((1+E$5)/(1+'Assumptions'!$B$26))^1+'Pro Forma'!C$28)*(1-'Assumptions'!$B$52)-'Pro Forma'!C$42</f>
        <v/>
      </c>
      <c r="F8" s="16">
        <f>('Pro Forma'!C$27*((1+F$5)/(1+'Assumptions'!$B$26))^1+'Pro Forma'!C$28)*(1-'Assumptions'!$B$52)-'Pro Forma'!C$42</f>
        <v/>
      </c>
    </row>
    <row r="9">
      <c r="A9" s="10" t="inlineStr">
        <is>
          <t>NOI year 3</t>
        </is>
      </c>
      <c r="B9" s="16">
        <f>('Pro Forma'!D$27*((1+B$5)/(1+'Assumptions'!$B$26))^2+'Pro Forma'!D$28)*(1-'Assumptions'!$B$52)-'Pro Forma'!D$42</f>
        <v/>
      </c>
      <c r="C9" s="16">
        <f>('Pro Forma'!D$27*((1+C$5)/(1+'Assumptions'!$B$26))^2+'Pro Forma'!D$28)*(1-'Assumptions'!$B$52)-'Pro Forma'!D$42</f>
        <v/>
      </c>
      <c r="D9" s="16">
        <f>('Pro Forma'!D$27*((1+D$5)/(1+'Assumptions'!$B$26))^2+'Pro Forma'!D$28)*(1-'Assumptions'!$B$52)-'Pro Forma'!D$42</f>
        <v/>
      </c>
      <c r="E9" s="16">
        <f>('Pro Forma'!D$27*((1+E$5)/(1+'Assumptions'!$B$26))^2+'Pro Forma'!D$28)*(1-'Assumptions'!$B$52)-'Pro Forma'!D$42</f>
        <v/>
      </c>
      <c r="F9" s="16">
        <f>('Pro Forma'!D$27*((1+F$5)/(1+'Assumptions'!$B$26))^2+'Pro Forma'!D$28)*(1-'Assumptions'!$B$52)-'Pro Forma'!D$42</f>
        <v/>
      </c>
    </row>
    <row r="10">
      <c r="A10" s="10" t="inlineStr">
        <is>
          <t>NOI year 4</t>
        </is>
      </c>
      <c r="B10" s="16">
        <f>('Pro Forma'!E$27*((1+B$5)/(1+'Assumptions'!$B$26))^3+'Pro Forma'!E$28)*(1-'Assumptions'!$B$52)-'Pro Forma'!E$42</f>
        <v/>
      </c>
      <c r="C10" s="16">
        <f>('Pro Forma'!E$27*((1+C$5)/(1+'Assumptions'!$B$26))^3+'Pro Forma'!E$28)*(1-'Assumptions'!$B$52)-'Pro Forma'!E$42</f>
        <v/>
      </c>
      <c r="D10" s="16">
        <f>('Pro Forma'!E$27*((1+D$5)/(1+'Assumptions'!$B$26))^3+'Pro Forma'!E$28)*(1-'Assumptions'!$B$52)-'Pro Forma'!E$42</f>
        <v/>
      </c>
      <c r="E10" s="16">
        <f>('Pro Forma'!E$27*((1+E$5)/(1+'Assumptions'!$B$26))^3+'Pro Forma'!E$28)*(1-'Assumptions'!$B$52)-'Pro Forma'!E$42</f>
        <v/>
      </c>
      <c r="F10" s="16">
        <f>('Pro Forma'!E$27*((1+F$5)/(1+'Assumptions'!$B$26))^3+'Pro Forma'!E$28)*(1-'Assumptions'!$B$52)-'Pro Forma'!E$42</f>
        <v/>
      </c>
    </row>
    <row r="11">
      <c r="A11" s="10" t="inlineStr">
        <is>
          <t>NOI year 5</t>
        </is>
      </c>
      <c r="B11" s="16">
        <f>('Pro Forma'!F$27*((1+B$5)/(1+'Assumptions'!$B$26))^4+'Pro Forma'!F$28)*(1-'Assumptions'!$B$52)-'Pro Forma'!F$42</f>
        <v/>
      </c>
      <c r="C11" s="16">
        <f>('Pro Forma'!F$27*((1+C$5)/(1+'Assumptions'!$B$26))^4+'Pro Forma'!F$28)*(1-'Assumptions'!$B$52)-'Pro Forma'!F$42</f>
        <v/>
      </c>
      <c r="D11" s="16">
        <f>('Pro Forma'!F$27*((1+D$5)/(1+'Assumptions'!$B$26))^4+'Pro Forma'!F$28)*(1-'Assumptions'!$B$52)-'Pro Forma'!F$42</f>
        <v/>
      </c>
      <c r="E11" s="16">
        <f>('Pro Forma'!F$27*((1+E$5)/(1+'Assumptions'!$B$26))^4+'Pro Forma'!F$28)*(1-'Assumptions'!$B$52)-'Pro Forma'!F$42</f>
        <v/>
      </c>
      <c r="F11" s="16">
        <f>('Pro Forma'!F$27*((1+F$5)/(1+'Assumptions'!$B$26))^4+'Pro Forma'!F$28)*(1-'Assumptions'!$B$52)-'Pro Forma'!F$42</f>
        <v/>
      </c>
    </row>
    <row r="12">
      <c r="A12" s="10" t="inlineStr">
        <is>
          <t>NOI year 6</t>
        </is>
      </c>
      <c r="B12" s="16">
        <f>('Pro Forma'!G$27*((1+B$5)/(1+'Assumptions'!$B$26))^5+'Pro Forma'!G$28)*(1-'Assumptions'!$B$52)-'Pro Forma'!G$42</f>
        <v/>
      </c>
      <c r="C12" s="16">
        <f>('Pro Forma'!G$27*((1+C$5)/(1+'Assumptions'!$B$26))^5+'Pro Forma'!G$28)*(1-'Assumptions'!$B$52)-'Pro Forma'!G$42</f>
        <v/>
      </c>
      <c r="D12" s="16">
        <f>('Pro Forma'!G$27*((1+D$5)/(1+'Assumptions'!$B$26))^5+'Pro Forma'!G$28)*(1-'Assumptions'!$B$52)-'Pro Forma'!G$42</f>
        <v/>
      </c>
      <c r="E12" s="16">
        <f>('Pro Forma'!G$27*((1+E$5)/(1+'Assumptions'!$B$26))^5+'Pro Forma'!G$28)*(1-'Assumptions'!$B$52)-'Pro Forma'!G$42</f>
        <v/>
      </c>
      <c r="F12" s="16">
        <f>('Pro Forma'!G$27*((1+F$5)/(1+'Assumptions'!$B$26))^5+'Pro Forma'!G$28)*(1-'Assumptions'!$B$52)-'Pro Forma'!G$42</f>
        <v/>
      </c>
    </row>
    <row r="13">
      <c r="A13" s="10" t="inlineStr">
        <is>
          <t>NOI year 7</t>
        </is>
      </c>
      <c r="B13" s="16">
        <f>('Pro Forma'!H$27*((1+B$5)/(1+'Assumptions'!$B$26))^6+'Pro Forma'!H$28)*(1-'Assumptions'!$B$52)-'Pro Forma'!H$42</f>
        <v/>
      </c>
      <c r="C13" s="16">
        <f>('Pro Forma'!H$27*((1+C$5)/(1+'Assumptions'!$B$26))^6+'Pro Forma'!H$28)*(1-'Assumptions'!$B$52)-'Pro Forma'!H$42</f>
        <v/>
      </c>
      <c r="D13" s="16">
        <f>('Pro Forma'!H$27*((1+D$5)/(1+'Assumptions'!$B$26))^6+'Pro Forma'!H$28)*(1-'Assumptions'!$B$52)-'Pro Forma'!H$42</f>
        <v/>
      </c>
      <c r="E13" s="16">
        <f>('Pro Forma'!H$27*((1+E$5)/(1+'Assumptions'!$B$26))^6+'Pro Forma'!H$28)*(1-'Assumptions'!$B$52)-'Pro Forma'!H$42</f>
        <v/>
      </c>
      <c r="F13" s="16">
        <f>('Pro Forma'!H$27*((1+F$5)/(1+'Assumptions'!$B$26))^6+'Pro Forma'!H$28)*(1-'Assumptions'!$B$52)-'Pro Forma'!H$42</f>
        <v/>
      </c>
    </row>
    <row r="14">
      <c r="A14" s="10" t="inlineStr">
        <is>
          <t>NOI year 8</t>
        </is>
      </c>
      <c r="B14" s="16">
        <f>('Pro Forma'!I$27*((1+B$5)/(1+'Assumptions'!$B$26))^7+'Pro Forma'!I$28)*(1-'Assumptions'!$B$52)-'Pro Forma'!I$42</f>
        <v/>
      </c>
      <c r="C14" s="16">
        <f>('Pro Forma'!I$27*((1+C$5)/(1+'Assumptions'!$B$26))^7+'Pro Forma'!I$28)*(1-'Assumptions'!$B$52)-'Pro Forma'!I$42</f>
        <v/>
      </c>
      <c r="D14" s="16">
        <f>('Pro Forma'!I$27*((1+D$5)/(1+'Assumptions'!$B$26))^7+'Pro Forma'!I$28)*(1-'Assumptions'!$B$52)-'Pro Forma'!I$42</f>
        <v/>
      </c>
      <c r="E14" s="16">
        <f>('Pro Forma'!I$27*((1+E$5)/(1+'Assumptions'!$B$26))^7+'Pro Forma'!I$28)*(1-'Assumptions'!$B$52)-'Pro Forma'!I$42</f>
        <v/>
      </c>
      <c r="F14" s="16">
        <f>('Pro Forma'!I$27*((1+F$5)/(1+'Assumptions'!$B$26))^7+'Pro Forma'!I$28)*(1-'Assumptions'!$B$52)-'Pro Forma'!I$42</f>
        <v/>
      </c>
    </row>
    <row r="15">
      <c r="A15" s="10" t="inlineStr">
        <is>
          <t>NOI year 9</t>
        </is>
      </c>
      <c r="B15" s="16">
        <f>('Pro Forma'!J$27*((1+B$5)/(1+'Assumptions'!$B$26))^8+'Pro Forma'!J$28)*(1-'Assumptions'!$B$52)-'Pro Forma'!J$42</f>
        <v/>
      </c>
      <c r="C15" s="16">
        <f>('Pro Forma'!J$27*((1+C$5)/(1+'Assumptions'!$B$26))^8+'Pro Forma'!J$28)*(1-'Assumptions'!$B$52)-'Pro Forma'!J$42</f>
        <v/>
      </c>
      <c r="D15" s="16">
        <f>('Pro Forma'!J$27*((1+D$5)/(1+'Assumptions'!$B$26))^8+'Pro Forma'!J$28)*(1-'Assumptions'!$B$52)-'Pro Forma'!J$42</f>
        <v/>
      </c>
      <c r="E15" s="16">
        <f>('Pro Forma'!J$27*((1+E$5)/(1+'Assumptions'!$B$26))^8+'Pro Forma'!J$28)*(1-'Assumptions'!$B$52)-'Pro Forma'!J$42</f>
        <v/>
      </c>
      <c r="F15" s="16">
        <f>('Pro Forma'!J$27*((1+F$5)/(1+'Assumptions'!$B$26))^8+'Pro Forma'!J$28)*(1-'Assumptions'!$B$52)-'Pro Forma'!J$42</f>
        <v/>
      </c>
    </row>
    <row r="16">
      <c r="A16" s="10" t="inlineStr">
        <is>
          <t>NOI year 10</t>
        </is>
      </c>
      <c r="B16" s="16">
        <f>('Pro Forma'!K$27*((1+B$5)/(1+'Assumptions'!$B$26))^9+'Pro Forma'!K$28)*(1-'Assumptions'!$B$52)-'Pro Forma'!K$42</f>
        <v/>
      </c>
      <c r="C16" s="16">
        <f>('Pro Forma'!K$27*((1+C$5)/(1+'Assumptions'!$B$26))^9+'Pro Forma'!K$28)*(1-'Assumptions'!$B$52)-'Pro Forma'!K$42</f>
        <v/>
      </c>
      <c r="D16" s="16">
        <f>('Pro Forma'!K$27*((1+D$5)/(1+'Assumptions'!$B$26))^9+'Pro Forma'!K$28)*(1-'Assumptions'!$B$52)-'Pro Forma'!K$42</f>
        <v/>
      </c>
      <c r="E16" s="16">
        <f>('Pro Forma'!K$27*((1+E$5)/(1+'Assumptions'!$B$26))^9+'Pro Forma'!K$28)*(1-'Assumptions'!$B$52)-'Pro Forma'!K$42</f>
        <v/>
      </c>
      <c r="F16" s="16">
        <f>('Pro Forma'!K$27*((1+F$5)/(1+'Assumptions'!$B$26))^9+'Pro Forma'!K$28)*(1-'Assumptions'!$B$52)-'Pro Forma'!K$42</f>
        <v/>
      </c>
    </row>
    <row r="17">
      <c r="A17" s="10" t="inlineStr">
        <is>
          <t>NOI year 11 (exit basis)</t>
        </is>
      </c>
      <c r="B17" s="16">
        <f>('Pro Forma'!L$27*((1+B$5)/(1+'Assumptions'!$B$26))^10+'Pro Forma'!L$28)*(1-'Assumptions'!$B$52)-'Pro Forma'!L$42</f>
        <v/>
      </c>
      <c r="C17" s="16">
        <f>('Pro Forma'!L$27*((1+C$5)/(1+'Assumptions'!$B$26))^10+'Pro Forma'!L$28)*(1-'Assumptions'!$B$52)-'Pro Forma'!L$42</f>
        <v/>
      </c>
      <c r="D17" s="16">
        <f>('Pro Forma'!L$27*((1+D$5)/(1+'Assumptions'!$B$26))^10+'Pro Forma'!L$28)*(1-'Assumptions'!$B$52)-'Pro Forma'!L$42</f>
        <v/>
      </c>
      <c r="E17" s="16">
        <f>('Pro Forma'!L$27*((1+E$5)/(1+'Assumptions'!$B$26))^10+'Pro Forma'!L$28)*(1-'Assumptions'!$B$52)-'Pro Forma'!L$42</f>
        <v/>
      </c>
      <c r="F17" s="16">
        <f>('Pro Forma'!L$27*((1+F$5)/(1+'Assumptions'!$B$26))^10+'Pro Forma'!L$28)*(1-'Assumptions'!$B$52)-'Pro Forma'!L$42</f>
        <v/>
      </c>
    </row>
    <row r="19">
      <c r="A19" s="4" t="inlineStr">
        <is>
          <t>Levered operating cash flow by year</t>
        </is>
      </c>
    </row>
    <row r="20">
      <c r="A20" s="10" t="inlineStr">
        <is>
          <t>Levered operating year 1</t>
        </is>
      </c>
      <c r="B20" s="16">
        <f>IF(1&lt;='Assumptions'!$B$25,B7-'Pro Forma'!B$55+'Pro Forma'!B$59,0)</f>
        <v/>
      </c>
      <c r="C20" s="16">
        <f>IF(1&lt;='Assumptions'!$B$25,C7-'Pro Forma'!B$55+'Pro Forma'!B$59,0)</f>
        <v/>
      </c>
      <c r="D20" s="16">
        <f>IF(1&lt;='Assumptions'!$B$25,D7-'Pro Forma'!B$55+'Pro Forma'!B$59,0)</f>
        <v/>
      </c>
      <c r="E20" s="16">
        <f>IF(1&lt;='Assumptions'!$B$25,E7-'Pro Forma'!B$55+'Pro Forma'!B$59,0)</f>
        <v/>
      </c>
      <c r="F20" s="16">
        <f>IF(1&lt;='Assumptions'!$B$25,F7-'Pro Forma'!B$55+'Pro Forma'!B$59,0)</f>
        <v/>
      </c>
    </row>
    <row r="21">
      <c r="A21" s="10" t="inlineStr">
        <is>
          <t>Levered operating year 2</t>
        </is>
      </c>
      <c r="B21" s="16">
        <f>IF(2&lt;='Assumptions'!$B$25,B8-'Pro Forma'!C$55+'Pro Forma'!C$59,0)</f>
        <v/>
      </c>
      <c r="C21" s="16">
        <f>IF(2&lt;='Assumptions'!$B$25,C8-'Pro Forma'!C$55+'Pro Forma'!C$59,0)</f>
        <v/>
      </c>
      <c r="D21" s="16">
        <f>IF(2&lt;='Assumptions'!$B$25,D8-'Pro Forma'!C$55+'Pro Forma'!C$59,0)</f>
        <v/>
      </c>
      <c r="E21" s="16">
        <f>IF(2&lt;='Assumptions'!$B$25,E8-'Pro Forma'!C$55+'Pro Forma'!C$59,0)</f>
        <v/>
      </c>
      <c r="F21" s="16">
        <f>IF(2&lt;='Assumptions'!$B$25,F8-'Pro Forma'!C$55+'Pro Forma'!C$59,0)</f>
        <v/>
      </c>
    </row>
    <row r="22">
      <c r="A22" s="10" t="inlineStr">
        <is>
          <t>Levered operating year 3</t>
        </is>
      </c>
      <c r="B22" s="16">
        <f>IF(3&lt;='Assumptions'!$B$25,B9-'Pro Forma'!D$55+'Pro Forma'!D$59,0)</f>
        <v/>
      </c>
      <c r="C22" s="16">
        <f>IF(3&lt;='Assumptions'!$B$25,C9-'Pro Forma'!D$55+'Pro Forma'!D$59,0)</f>
        <v/>
      </c>
      <c r="D22" s="16">
        <f>IF(3&lt;='Assumptions'!$B$25,D9-'Pro Forma'!D$55+'Pro Forma'!D$59,0)</f>
        <v/>
      </c>
      <c r="E22" s="16">
        <f>IF(3&lt;='Assumptions'!$B$25,E9-'Pro Forma'!D$55+'Pro Forma'!D$59,0)</f>
        <v/>
      </c>
      <c r="F22" s="16">
        <f>IF(3&lt;='Assumptions'!$B$25,F9-'Pro Forma'!D$55+'Pro Forma'!D$59,0)</f>
        <v/>
      </c>
    </row>
    <row r="23">
      <c r="A23" s="10" t="inlineStr">
        <is>
          <t>Levered operating year 4</t>
        </is>
      </c>
      <c r="B23" s="16">
        <f>IF(4&lt;='Assumptions'!$B$25,B10-'Pro Forma'!E$55+'Pro Forma'!E$59,0)</f>
        <v/>
      </c>
      <c r="C23" s="16">
        <f>IF(4&lt;='Assumptions'!$B$25,C10-'Pro Forma'!E$55+'Pro Forma'!E$59,0)</f>
        <v/>
      </c>
      <c r="D23" s="16">
        <f>IF(4&lt;='Assumptions'!$B$25,D10-'Pro Forma'!E$55+'Pro Forma'!E$59,0)</f>
        <v/>
      </c>
      <c r="E23" s="16">
        <f>IF(4&lt;='Assumptions'!$B$25,E10-'Pro Forma'!E$55+'Pro Forma'!E$59,0)</f>
        <v/>
      </c>
      <c r="F23" s="16">
        <f>IF(4&lt;='Assumptions'!$B$25,F10-'Pro Forma'!E$55+'Pro Forma'!E$59,0)</f>
        <v/>
      </c>
    </row>
    <row r="24">
      <c r="A24" s="10" t="inlineStr">
        <is>
          <t>Levered operating year 5</t>
        </is>
      </c>
      <c r="B24" s="16">
        <f>IF(5&lt;='Assumptions'!$B$25,B11-'Pro Forma'!F$55+'Pro Forma'!F$59,0)</f>
        <v/>
      </c>
      <c r="C24" s="16">
        <f>IF(5&lt;='Assumptions'!$B$25,C11-'Pro Forma'!F$55+'Pro Forma'!F$59,0)</f>
        <v/>
      </c>
      <c r="D24" s="16">
        <f>IF(5&lt;='Assumptions'!$B$25,D11-'Pro Forma'!F$55+'Pro Forma'!F$59,0)</f>
        <v/>
      </c>
      <c r="E24" s="16">
        <f>IF(5&lt;='Assumptions'!$B$25,E11-'Pro Forma'!F$55+'Pro Forma'!F$59,0)</f>
        <v/>
      </c>
      <c r="F24" s="16">
        <f>IF(5&lt;='Assumptions'!$B$25,F11-'Pro Forma'!F$55+'Pro Forma'!F$59,0)</f>
        <v/>
      </c>
    </row>
    <row r="25">
      <c r="A25" s="10" t="inlineStr">
        <is>
          <t>Levered operating year 6</t>
        </is>
      </c>
      <c r="B25" s="16">
        <f>IF(6&lt;='Assumptions'!$B$25,B12-'Pro Forma'!G$55+'Pro Forma'!G$59,0)</f>
        <v/>
      </c>
      <c r="C25" s="16">
        <f>IF(6&lt;='Assumptions'!$B$25,C12-'Pro Forma'!G$55+'Pro Forma'!G$59,0)</f>
        <v/>
      </c>
      <c r="D25" s="16">
        <f>IF(6&lt;='Assumptions'!$B$25,D12-'Pro Forma'!G$55+'Pro Forma'!G$59,0)</f>
        <v/>
      </c>
      <c r="E25" s="16">
        <f>IF(6&lt;='Assumptions'!$B$25,E12-'Pro Forma'!G$55+'Pro Forma'!G$59,0)</f>
        <v/>
      </c>
      <c r="F25" s="16">
        <f>IF(6&lt;='Assumptions'!$B$25,F12-'Pro Forma'!G$55+'Pro Forma'!G$59,0)</f>
        <v/>
      </c>
    </row>
    <row r="26">
      <c r="A26" s="10" t="inlineStr">
        <is>
          <t>Levered operating year 7</t>
        </is>
      </c>
      <c r="B26" s="16">
        <f>IF(7&lt;='Assumptions'!$B$25,B13-'Pro Forma'!H$55+'Pro Forma'!H$59,0)</f>
        <v/>
      </c>
      <c r="C26" s="16">
        <f>IF(7&lt;='Assumptions'!$B$25,C13-'Pro Forma'!H$55+'Pro Forma'!H$59,0)</f>
        <v/>
      </c>
      <c r="D26" s="16">
        <f>IF(7&lt;='Assumptions'!$B$25,D13-'Pro Forma'!H$55+'Pro Forma'!H$59,0)</f>
        <v/>
      </c>
      <c r="E26" s="16">
        <f>IF(7&lt;='Assumptions'!$B$25,E13-'Pro Forma'!H$55+'Pro Forma'!H$59,0)</f>
        <v/>
      </c>
      <c r="F26" s="16">
        <f>IF(7&lt;='Assumptions'!$B$25,F13-'Pro Forma'!H$55+'Pro Forma'!H$59,0)</f>
        <v/>
      </c>
    </row>
    <row r="27">
      <c r="A27" s="10" t="inlineStr">
        <is>
          <t>Levered operating year 8</t>
        </is>
      </c>
      <c r="B27" s="16">
        <f>IF(8&lt;='Assumptions'!$B$25,B14-'Pro Forma'!I$55+'Pro Forma'!I$59,0)</f>
        <v/>
      </c>
      <c r="C27" s="16">
        <f>IF(8&lt;='Assumptions'!$B$25,C14-'Pro Forma'!I$55+'Pro Forma'!I$59,0)</f>
        <v/>
      </c>
      <c r="D27" s="16">
        <f>IF(8&lt;='Assumptions'!$B$25,D14-'Pro Forma'!I$55+'Pro Forma'!I$59,0)</f>
        <v/>
      </c>
      <c r="E27" s="16">
        <f>IF(8&lt;='Assumptions'!$B$25,E14-'Pro Forma'!I$55+'Pro Forma'!I$59,0)</f>
        <v/>
      </c>
      <c r="F27" s="16">
        <f>IF(8&lt;='Assumptions'!$B$25,F14-'Pro Forma'!I$55+'Pro Forma'!I$59,0)</f>
        <v/>
      </c>
    </row>
    <row r="28">
      <c r="A28" s="10" t="inlineStr">
        <is>
          <t>Levered operating year 9</t>
        </is>
      </c>
      <c r="B28" s="16">
        <f>IF(9&lt;='Assumptions'!$B$25,B15-'Pro Forma'!J$55+'Pro Forma'!J$59,0)</f>
        <v/>
      </c>
      <c r="C28" s="16">
        <f>IF(9&lt;='Assumptions'!$B$25,C15-'Pro Forma'!J$55+'Pro Forma'!J$59,0)</f>
        <v/>
      </c>
      <c r="D28" s="16">
        <f>IF(9&lt;='Assumptions'!$B$25,D15-'Pro Forma'!J$55+'Pro Forma'!J$59,0)</f>
        <v/>
      </c>
      <c r="E28" s="16">
        <f>IF(9&lt;='Assumptions'!$B$25,E15-'Pro Forma'!J$55+'Pro Forma'!J$59,0)</f>
        <v/>
      </c>
      <c r="F28" s="16">
        <f>IF(9&lt;='Assumptions'!$B$25,F15-'Pro Forma'!J$55+'Pro Forma'!J$59,0)</f>
        <v/>
      </c>
    </row>
    <row r="29">
      <c r="A29" s="10" t="inlineStr">
        <is>
          <t>Levered operating year 10</t>
        </is>
      </c>
      <c r="B29" s="16">
        <f>IF(10&lt;='Assumptions'!$B$25,B16-'Pro Forma'!K$55+'Pro Forma'!K$59,0)</f>
        <v/>
      </c>
      <c r="C29" s="16">
        <f>IF(10&lt;='Assumptions'!$B$25,C16-'Pro Forma'!K$55+'Pro Forma'!K$59,0)</f>
        <v/>
      </c>
      <c r="D29" s="16">
        <f>IF(10&lt;='Assumptions'!$B$25,D16-'Pro Forma'!K$55+'Pro Forma'!K$59,0)</f>
        <v/>
      </c>
      <c r="E29" s="16">
        <f>IF(10&lt;='Assumptions'!$B$25,E16-'Pro Forma'!K$55+'Pro Forma'!K$59,0)</f>
        <v/>
      </c>
      <c r="F29" s="16">
        <f>IF(10&lt;='Assumptions'!$B$25,F16-'Pro Forma'!K$55+'Pro Forma'!K$59,0)</f>
        <v/>
      </c>
    </row>
    <row r="31">
      <c r="A31" s="4" t="inlineStr">
        <is>
          <t>Twenty-five combinations: exit cap by rent growth</t>
        </is>
      </c>
    </row>
    <row r="32">
      <c r="A32" s="10" t="inlineStr">
        <is>
          <t>Exit cap</t>
        </is>
      </c>
      <c r="B32" s="66">
        <f>'Assumptions'!$B$79+(-2)*'Assumptions'!$B$89</f>
        <v/>
      </c>
      <c r="C32" s="66">
        <f>'Assumptions'!$B$79+(-2)*'Assumptions'!$B$89</f>
        <v/>
      </c>
      <c r="D32" s="66">
        <f>'Assumptions'!$B$79+(-2)*'Assumptions'!$B$89</f>
        <v/>
      </c>
      <c r="E32" s="66">
        <f>'Assumptions'!$B$79+(-2)*'Assumptions'!$B$89</f>
        <v/>
      </c>
      <c r="F32" s="66">
        <f>'Assumptions'!$B$79+(-2)*'Assumptions'!$B$89</f>
        <v/>
      </c>
      <c r="G32" s="66">
        <f>'Assumptions'!$B$79+(-1)*'Assumptions'!$B$89</f>
        <v/>
      </c>
      <c r="H32" s="66">
        <f>'Assumptions'!$B$79+(-1)*'Assumptions'!$B$89</f>
        <v/>
      </c>
      <c r="I32" s="66">
        <f>'Assumptions'!$B$79+(-1)*'Assumptions'!$B$89</f>
        <v/>
      </c>
      <c r="J32" s="66">
        <f>'Assumptions'!$B$79+(-1)*'Assumptions'!$B$89</f>
        <v/>
      </c>
      <c r="K32" s="66">
        <f>'Assumptions'!$B$79+(-1)*'Assumptions'!$B$89</f>
        <v/>
      </c>
      <c r="L32" s="66">
        <f>'Assumptions'!$B$79+(0)*'Assumptions'!$B$89</f>
        <v/>
      </c>
      <c r="M32" s="66">
        <f>'Assumptions'!$B$79+(0)*'Assumptions'!$B$89</f>
        <v/>
      </c>
      <c r="N32" s="66">
        <f>'Assumptions'!$B$79+(0)*'Assumptions'!$B$89</f>
        <v/>
      </c>
      <c r="O32" s="66">
        <f>'Assumptions'!$B$79+(0)*'Assumptions'!$B$89</f>
        <v/>
      </c>
      <c r="P32" s="66">
        <f>'Assumptions'!$B$79+(0)*'Assumptions'!$B$89</f>
        <v/>
      </c>
      <c r="Q32" s="66">
        <f>'Assumptions'!$B$79+(1)*'Assumptions'!$B$89</f>
        <v/>
      </c>
      <c r="R32" s="66">
        <f>'Assumptions'!$B$79+(1)*'Assumptions'!$B$89</f>
        <v/>
      </c>
      <c r="S32" s="66">
        <f>'Assumptions'!$B$79+(1)*'Assumptions'!$B$89</f>
        <v/>
      </c>
      <c r="T32" s="66">
        <f>'Assumptions'!$B$79+(1)*'Assumptions'!$B$89</f>
        <v/>
      </c>
      <c r="U32" s="66">
        <f>'Assumptions'!$B$79+(1)*'Assumptions'!$B$89</f>
        <v/>
      </c>
      <c r="V32" s="66">
        <f>'Assumptions'!$B$79+(2)*'Assumptions'!$B$89</f>
        <v/>
      </c>
      <c r="W32" s="66">
        <f>'Assumptions'!$B$79+(2)*'Assumptions'!$B$89</f>
        <v/>
      </c>
      <c r="X32" s="66">
        <f>'Assumptions'!$B$79+(2)*'Assumptions'!$B$89</f>
        <v/>
      </c>
      <c r="Y32" s="66">
        <f>'Assumptions'!$B$79+(2)*'Assumptions'!$B$89</f>
        <v/>
      </c>
      <c r="Z32" s="66">
        <f>'Assumptions'!$B$79+(2)*'Assumptions'!$B$89</f>
        <v/>
      </c>
    </row>
    <row r="33">
      <c r="A33" s="10" t="inlineStr">
        <is>
          <t>Rent growth</t>
        </is>
      </c>
      <c r="B33" s="66">
        <f>B$5</f>
        <v/>
      </c>
      <c r="C33" s="66">
        <f>C$5</f>
        <v/>
      </c>
      <c r="D33" s="66">
        <f>D$5</f>
        <v/>
      </c>
      <c r="E33" s="66">
        <f>E$5</f>
        <v/>
      </c>
      <c r="F33" s="66">
        <f>F$5</f>
        <v/>
      </c>
      <c r="G33" s="66">
        <f>B$5</f>
        <v/>
      </c>
      <c r="H33" s="66">
        <f>C$5</f>
        <v/>
      </c>
      <c r="I33" s="66">
        <f>D$5</f>
        <v/>
      </c>
      <c r="J33" s="66">
        <f>E$5</f>
        <v/>
      </c>
      <c r="K33" s="66">
        <f>F$5</f>
        <v/>
      </c>
      <c r="L33" s="66">
        <f>B$5</f>
        <v/>
      </c>
      <c r="M33" s="66">
        <f>C$5</f>
        <v/>
      </c>
      <c r="N33" s="66">
        <f>D$5</f>
        <v/>
      </c>
      <c r="O33" s="66">
        <f>E$5</f>
        <v/>
      </c>
      <c r="P33" s="66">
        <f>F$5</f>
        <v/>
      </c>
      <c r="Q33" s="66">
        <f>B$5</f>
        <v/>
      </c>
      <c r="R33" s="66">
        <f>C$5</f>
        <v/>
      </c>
      <c r="S33" s="66">
        <f>D$5</f>
        <v/>
      </c>
      <c r="T33" s="66">
        <f>E$5</f>
        <v/>
      </c>
      <c r="U33" s="66">
        <f>F$5</f>
        <v/>
      </c>
      <c r="V33" s="66">
        <f>B$5</f>
        <v/>
      </c>
      <c r="W33" s="66">
        <f>C$5</f>
        <v/>
      </c>
      <c r="X33" s="66">
        <f>D$5</f>
        <v/>
      </c>
      <c r="Y33" s="66">
        <f>E$5</f>
        <v/>
      </c>
      <c r="Z33" s="66">
        <f>F$5</f>
        <v/>
      </c>
    </row>
    <row r="35">
      <c r="A35" s="4" t="inlineStr">
        <is>
          <t>Levered cash flow year 0</t>
        </is>
      </c>
      <c r="B35" s="16">
        <f>-'Sources and Uses'!$B$17</f>
        <v/>
      </c>
      <c r="C35" s="16">
        <f>-'Sources and Uses'!$B$17</f>
        <v/>
      </c>
      <c r="D35" s="16">
        <f>-'Sources and Uses'!$B$17</f>
        <v/>
      </c>
      <c r="E35" s="16">
        <f>-'Sources and Uses'!$B$17</f>
        <v/>
      </c>
      <c r="F35" s="16">
        <f>-'Sources and Uses'!$B$17</f>
        <v/>
      </c>
      <c r="G35" s="16">
        <f>-'Sources and Uses'!$B$17</f>
        <v/>
      </c>
      <c r="H35" s="16">
        <f>-'Sources and Uses'!$B$17</f>
        <v/>
      </c>
      <c r="I35" s="16">
        <f>-'Sources and Uses'!$B$17</f>
        <v/>
      </c>
      <c r="J35" s="16">
        <f>-'Sources and Uses'!$B$17</f>
        <v/>
      </c>
      <c r="K35" s="16">
        <f>-'Sources and Uses'!$B$17</f>
        <v/>
      </c>
      <c r="L35" s="16">
        <f>-'Sources and Uses'!$B$17</f>
        <v/>
      </c>
      <c r="M35" s="16">
        <f>-'Sources and Uses'!$B$17</f>
        <v/>
      </c>
      <c r="N35" s="16">
        <f>-'Sources and Uses'!$B$17</f>
        <v/>
      </c>
      <c r="O35" s="16">
        <f>-'Sources and Uses'!$B$17</f>
        <v/>
      </c>
      <c r="P35" s="16">
        <f>-'Sources and Uses'!$B$17</f>
        <v/>
      </c>
      <c r="Q35" s="16">
        <f>-'Sources and Uses'!$B$17</f>
        <v/>
      </c>
      <c r="R35" s="16">
        <f>-'Sources and Uses'!$B$17</f>
        <v/>
      </c>
      <c r="S35" s="16">
        <f>-'Sources and Uses'!$B$17</f>
        <v/>
      </c>
      <c r="T35" s="16">
        <f>-'Sources and Uses'!$B$17</f>
        <v/>
      </c>
      <c r="U35" s="16">
        <f>-'Sources and Uses'!$B$17</f>
        <v/>
      </c>
      <c r="V35" s="16">
        <f>-'Sources and Uses'!$B$17</f>
        <v/>
      </c>
      <c r="W35" s="16">
        <f>-'Sources and Uses'!$B$17</f>
        <v/>
      </c>
      <c r="X35" s="16">
        <f>-'Sources and Uses'!$B$17</f>
        <v/>
      </c>
      <c r="Y35" s="16">
        <f>-'Sources and Uses'!$B$17</f>
        <v/>
      </c>
      <c r="Z35" s="16">
        <f>-'Sources and Uses'!$B$17</f>
        <v/>
      </c>
    </row>
    <row r="36">
      <c r="A36" s="4" t="inlineStr">
        <is>
          <t>Levered cash flow year 1</t>
        </is>
      </c>
      <c r="B36" s="16">
        <f>B20+IF(1='Assumptions'!$B$25,IF(B$32&lt;=0,0,MAX(0,INDEX(B$7:B$17,MAX(1,MIN(11,'Assumptions'!$B$25+1))))/B$32*(1-'Assumptions'!$B$80))-'Debt'!$B$26,0)</f>
        <v/>
      </c>
      <c r="C36" s="16">
        <f>C20+IF(1='Assumptions'!$B$25,IF(C$32&lt;=0,0,MAX(0,INDEX(C$7:C$17,MAX(1,MIN(11,'Assumptions'!$B$25+1))))/C$32*(1-'Assumptions'!$B$80))-'Debt'!$B$26,0)</f>
        <v/>
      </c>
      <c r="D36" s="16">
        <f>D20+IF(1='Assumptions'!$B$25,IF(D$32&lt;=0,0,MAX(0,INDEX(D$7:D$17,MAX(1,MIN(11,'Assumptions'!$B$25+1))))/D$32*(1-'Assumptions'!$B$80))-'Debt'!$B$26,0)</f>
        <v/>
      </c>
      <c r="E36" s="16">
        <f>E20+IF(1='Assumptions'!$B$25,IF(E$32&lt;=0,0,MAX(0,INDEX(E$7:E$17,MAX(1,MIN(11,'Assumptions'!$B$25+1))))/E$32*(1-'Assumptions'!$B$80))-'Debt'!$B$26,0)</f>
        <v/>
      </c>
      <c r="F36" s="16">
        <f>F20+IF(1='Assumptions'!$B$25,IF(F$32&lt;=0,0,MAX(0,INDEX(F$7:F$17,MAX(1,MIN(11,'Assumptions'!$B$25+1))))/F$32*(1-'Assumptions'!$B$80))-'Debt'!$B$26,0)</f>
        <v/>
      </c>
      <c r="G36" s="16">
        <f>B20+IF(1='Assumptions'!$B$25,IF(G$32&lt;=0,0,MAX(0,INDEX(B$7:B$17,MAX(1,MIN(11,'Assumptions'!$B$25+1))))/G$32*(1-'Assumptions'!$B$80))-'Debt'!$B$26,0)</f>
        <v/>
      </c>
      <c r="H36" s="16">
        <f>C20+IF(1='Assumptions'!$B$25,IF(H$32&lt;=0,0,MAX(0,INDEX(C$7:C$17,MAX(1,MIN(11,'Assumptions'!$B$25+1))))/H$32*(1-'Assumptions'!$B$80))-'Debt'!$B$26,0)</f>
        <v/>
      </c>
      <c r="I36" s="16">
        <f>D20+IF(1='Assumptions'!$B$25,IF(I$32&lt;=0,0,MAX(0,INDEX(D$7:D$17,MAX(1,MIN(11,'Assumptions'!$B$25+1))))/I$32*(1-'Assumptions'!$B$80))-'Debt'!$B$26,0)</f>
        <v/>
      </c>
      <c r="J36" s="16">
        <f>E20+IF(1='Assumptions'!$B$25,IF(J$32&lt;=0,0,MAX(0,INDEX(E$7:E$17,MAX(1,MIN(11,'Assumptions'!$B$25+1))))/J$32*(1-'Assumptions'!$B$80))-'Debt'!$B$26,0)</f>
        <v/>
      </c>
      <c r="K36" s="16">
        <f>F20+IF(1='Assumptions'!$B$25,IF(K$32&lt;=0,0,MAX(0,INDEX(F$7:F$17,MAX(1,MIN(11,'Assumptions'!$B$25+1))))/K$32*(1-'Assumptions'!$B$80))-'Debt'!$B$26,0)</f>
        <v/>
      </c>
      <c r="L36" s="16">
        <f>B20+IF(1='Assumptions'!$B$25,IF(L$32&lt;=0,0,MAX(0,INDEX(B$7:B$17,MAX(1,MIN(11,'Assumptions'!$B$25+1))))/L$32*(1-'Assumptions'!$B$80))-'Debt'!$B$26,0)</f>
        <v/>
      </c>
      <c r="M36" s="16">
        <f>C20+IF(1='Assumptions'!$B$25,IF(M$32&lt;=0,0,MAX(0,INDEX(C$7:C$17,MAX(1,MIN(11,'Assumptions'!$B$25+1))))/M$32*(1-'Assumptions'!$B$80))-'Debt'!$B$26,0)</f>
        <v/>
      </c>
      <c r="N36" s="16">
        <f>D20+IF(1='Assumptions'!$B$25,IF(N$32&lt;=0,0,MAX(0,INDEX(D$7:D$17,MAX(1,MIN(11,'Assumptions'!$B$25+1))))/N$32*(1-'Assumptions'!$B$80))-'Debt'!$B$26,0)</f>
        <v/>
      </c>
      <c r="O36" s="16">
        <f>E20+IF(1='Assumptions'!$B$25,IF(O$32&lt;=0,0,MAX(0,INDEX(E$7:E$17,MAX(1,MIN(11,'Assumptions'!$B$25+1))))/O$32*(1-'Assumptions'!$B$80))-'Debt'!$B$26,0)</f>
        <v/>
      </c>
      <c r="P36" s="16">
        <f>F20+IF(1='Assumptions'!$B$25,IF(P$32&lt;=0,0,MAX(0,INDEX(F$7:F$17,MAX(1,MIN(11,'Assumptions'!$B$25+1))))/P$32*(1-'Assumptions'!$B$80))-'Debt'!$B$26,0)</f>
        <v/>
      </c>
      <c r="Q36" s="16">
        <f>B20+IF(1='Assumptions'!$B$25,IF(Q$32&lt;=0,0,MAX(0,INDEX(B$7:B$17,MAX(1,MIN(11,'Assumptions'!$B$25+1))))/Q$32*(1-'Assumptions'!$B$80))-'Debt'!$B$26,0)</f>
        <v/>
      </c>
      <c r="R36" s="16">
        <f>C20+IF(1='Assumptions'!$B$25,IF(R$32&lt;=0,0,MAX(0,INDEX(C$7:C$17,MAX(1,MIN(11,'Assumptions'!$B$25+1))))/R$32*(1-'Assumptions'!$B$80))-'Debt'!$B$26,0)</f>
        <v/>
      </c>
      <c r="S36" s="16">
        <f>D20+IF(1='Assumptions'!$B$25,IF(S$32&lt;=0,0,MAX(0,INDEX(D$7:D$17,MAX(1,MIN(11,'Assumptions'!$B$25+1))))/S$32*(1-'Assumptions'!$B$80))-'Debt'!$B$26,0)</f>
        <v/>
      </c>
      <c r="T36" s="16">
        <f>E20+IF(1='Assumptions'!$B$25,IF(T$32&lt;=0,0,MAX(0,INDEX(E$7:E$17,MAX(1,MIN(11,'Assumptions'!$B$25+1))))/T$32*(1-'Assumptions'!$B$80))-'Debt'!$B$26,0)</f>
        <v/>
      </c>
      <c r="U36" s="16">
        <f>F20+IF(1='Assumptions'!$B$25,IF(U$32&lt;=0,0,MAX(0,INDEX(F$7:F$17,MAX(1,MIN(11,'Assumptions'!$B$25+1))))/U$32*(1-'Assumptions'!$B$80))-'Debt'!$B$26,0)</f>
        <v/>
      </c>
      <c r="V36" s="16">
        <f>B20+IF(1='Assumptions'!$B$25,IF(V$32&lt;=0,0,MAX(0,INDEX(B$7:B$17,MAX(1,MIN(11,'Assumptions'!$B$25+1))))/V$32*(1-'Assumptions'!$B$80))-'Debt'!$B$26,0)</f>
        <v/>
      </c>
      <c r="W36" s="16">
        <f>C20+IF(1='Assumptions'!$B$25,IF(W$32&lt;=0,0,MAX(0,INDEX(C$7:C$17,MAX(1,MIN(11,'Assumptions'!$B$25+1))))/W$32*(1-'Assumptions'!$B$80))-'Debt'!$B$26,0)</f>
        <v/>
      </c>
      <c r="X36" s="16">
        <f>D20+IF(1='Assumptions'!$B$25,IF(X$32&lt;=0,0,MAX(0,INDEX(D$7:D$17,MAX(1,MIN(11,'Assumptions'!$B$25+1))))/X$32*(1-'Assumptions'!$B$80))-'Debt'!$B$26,0)</f>
        <v/>
      </c>
      <c r="Y36" s="16">
        <f>E20+IF(1='Assumptions'!$B$25,IF(Y$32&lt;=0,0,MAX(0,INDEX(E$7:E$17,MAX(1,MIN(11,'Assumptions'!$B$25+1))))/Y$32*(1-'Assumptions'!$B$80))-'Debt'!$B$26,0)</f>
        <v/>
      </c>
      <c r="Z36" s="16">
        <f>F20+IF(1='Assumptions'!$B$25,IF(Z$32&lt;=0,0,MAX(0,INDEX(F$7:F$17,MAX(1,MIN(11,'Assumptions'!$B$25+1))))/Z$32*(1-'Assumptions'!$B$80))-'Debt'!$B$26,0)</f>
        <v/>
      </c>
    </row>
    <row r="37">
      <c r="A37" s="4" t="inlineStr">
        <is>
          <t>Levered cash flow year 2</t>
        </is>
      </c>
      <c r="B37" s="16">
        <f>B21+IF(2='Assumptions'!$B$25,IF(B$32&lt;=0,0,MAX(0,INDEX(B$7:B$17,MAX(1,MIN(11,'Assumptions'!$B$25+1))))/B$32*(1-'Assumptions'!$B$80))-'Debt'!$B$26,0)</f>
        <v/>
      </c>
      <c r="C37" s="16">
        <f>C21+IF(2='Assumptions'!$B$25,IF(C$32&lt;=0,0,MAX(0,INDEX(C$7:C$17,MAX(1,MIN(11,'Assumptions'!$B$25+1))))/C$32*(1-'Assumptions'!$B$80))-'Debt'!$B$26,0)</f>
        <v/>
      </c>
      <c r="D37" s="16">
        <f>D21+IF(2='Assumptions'!$B$25,IF(D$32&lt;=0,0,MAX(0,INDEX(D$7:D$17,MAX(1,MIN(11,'Assumptions'!$B$25+1))))/D$32*(1-'Assumptions'!$B$80))-'Debt'!$B$26,0)</f>
        <v/>
      </c>
      <c r="E37" s="16">
        <f>E21+IF(2='Assumptions'!$B$25,IF(E$32&lt;=0,0,MAX(0,INDEX(E$7:E$17,MAX(1,MIN(11,'Assumptions'!$B$25+1))))/E$32*(1-'Assumptions'!$B$80))-'Debt'!$B$26,0)</f>
        <v/>
      </c>
      <c r="F37" s="16">
        <f>F21+IF(2='Assumptions'!$B$25,IF(F$32&lt;=0,0,MAX(0,INDEX(F$7:F$17,MAX(1,MIN(11,'Assumptions'!$B$25+1))))/F$32*(1-'Assumptions'!$B$80))-'Debt'!$B$26,0)</f>
        <v/>
      </c>
      <c r="G37" s="16">
        <f>B21+IF(2='Assumptions'!$B$25,IF(G$32&lt;=0,0,MAX(0,INDEX(B$7:B$17,MAX(1,MIN(11,'Assumptions'!$B$25+1))))/G$32*(1-'Assumptions'!$B$80))-'Debt'!$B$26,0)</f>
        <v/>
      </c>
      <c r="H37" s="16">
        <f>C21+IF(2='Assumptions'!$B$25,IF(H$32&lt;=0,0,MAX(0,INDEX(C$7:C$17,MAX(1,MIN(11,'Assumptions'!$B$25+1))))/H$32*(1-'Assumptions'!$B$80))-'Debt'!$B$26,0)</f>
        <v/>
      </c>
      <c r="I37" s="16">
        <f>D21+IF(2='Assumptions'!$B$25,IF(I$32&lt;=0,0,MAX(0,INDEX(D$7:D$17,MAX(1,MIN(11,'Assumptions'!$B$25+1))))/I$32*(1-'Assumptions'!$B$80))-'Debt'!$B$26,0)</f>
        <v/>
      </c>
      <c r="J37" s="16">
        <f>E21+IF(2='Assumptions'!$B$25,IF(J$32&lt;=0,0,MAX(0,INDEX(E$7:E$17,MAX(1,MIN(11,'Assumptions'!$B$25+1))))/J$32*(1-'Assumptions'!$B$80))-'Debt'!$B$26,0)</f>
        <v/>
      </c>
      <c r="K37" s="16">
        <f>F21+IF(2='Assumptions'!$B$25,IF(K$32&lt;=0,0,MAX(0,INDEX(F$7:F$17,MAX(1,MIN(11,'Assumptions'!$B$25+1))))/K$32*(1-'Assumptions'!$B$80))-'Debt'!$B$26,0)</f>
        <v/>
      </c>
      <c r="L37" s="16">
        <f>B21+IF(2='Assumptions'!$B$25,IF(L$32&lt;=0,0,MAX(0,INDEX(B$7:B$17,MAX(1,MIN(11,'Assumptions'!$B$25+1))))/L$32*(1-'Assumptions'!$B$80))-'Debt'!$B$26,0)</f>
        <v/>
      </c>
      <c r="M37" s="16">
        <f>C21+IF(2='Assumptions'!$B$25,IF(M$32&lt;=0,0,MAX(0,INDEX(C$7:C$17,MAX(1,MIN(11,'Assumptions'!$B$25+1))))/M$32*(1-'Assumptions'!$B$80))-'Debt'!$B$26,0)</f>
        <v/>
      </c>
      <c r="N37" s="16">
        <f>D21+IF(2='Assumptions'!$B$25,IF(N$32&lt;=0,0,MAX(0,INDEX(D$7:D$17,MAX(1,MIN(11,'Assumptions'!$B$25+1))))/N$32*(1-'Assumptions'!$B$80))-'Debt'!$B$26,0)</f>
        <v/>
      </c>
      <c r="O37" s="16">
        <f>E21+IF(2='Assumptions'!$B$25,IF(O$32&lt;=0,0,MAX(0,INDEX(E$7:E$17,MAX(1,MIN(11,'Assumptions'!$B$25+1))))/O$32*(1-'Assumptions'!$B$80))-'Debt'!$B$26,0)</f>
        <v/>
      </c>
      <c r="P37" s="16">
        <f>F21+IF(2='Assumptions'!$B$25,IF(P$32&lt;=0,0,MAX(0,INDEX(F$7:F$17,MAX(1,MIN(11,'Assumptions'!$B$25+1))))/P$32*(1-'Assumptions'!$B$80))-'Debt'!$B$26,0)</f>
        <v/>
      </c>
      <c r="Q37" s="16">
        <f>B21+IF(2='Assumptions'!$B$25,IF(Q$32&lt;=0,0,MAX(0,INDEX(B$7:B$17,MAX(1,MIN(11,'Assumptions'!$B$25+1))))/Q$32*(1-'Assumptions'!$B$80))-'Debt'!$B$26,0)</f>
        <v/>
      </c>
      <c r="R37" s="16">
        <f>C21+IF(2='Assumptions'!$B$25,IF(R$32&lt;=0,0,MAX(0,INDEX(C$7:C$17,MAX(1,MIN(11,'Assumptions'!$B$25+1))))/R$32*(1-'Assumptions'!$B$80))-'Debt'!$B$26,0)</f>
        <v/>
      </c>
      <c r="S37" s="16">
        <f>D21+IF(2='Assumptions'!$B$25,IF(S$32&lt;=0,0,MAX(0,INDEX(D$7:D$17,MAX(1,MIN(11,'Assumptions'!$B$25+1))))/S$32*(1-'Assumptions'!$B$80))-'Debt'!$B$26,0)</f>
        <v/>
      </c>
      <c r="T37" s="16">
        <f>E21+IF(2='Assumptions'!$B$25,IF(T$32&lt;=0,0,MAX(0,INDEX(E$7:E$17,MAX(1,MIN(11,'Assumptions'!$B$25+1))))/T$32*(1-'Assumptions'!$B$80))-'Debt'!$B$26,0)</f>
        <v/>
      </c>
      <c r="U37" s="16">
        <f>F21+IF(2='Assumptions'!$B$25,IF(U$32&lt;=0,0,MAX(0,INDEX(F$7:F$17,MAX(1,MIN(11,'Assumptions'!$B$25+1))))/U$32*(1-'Assumptions'!$B$80))-'Debt'!$B$26,0)</f>
        <v/>
      </c>
      <c r="V37" s="16">
        <f>B21+IF(2='Assumptions'!$B$25,IF(V$32&lt;=0,0,MAX(0,INDEX(B$7:B$17,MAX(1,MIN(11,'Assumptions'!$B$25+1))))/V$32*(1-'Assumptions'!$B$80))-'Debt'!$B$26,0)</f>
        <v/>
      </c>
      <c r="W37" s="16">
        <f>C21+IF(2='Assumptions'!$B$25,IF(W$32&lt;=0,0,MAX(0,INDEX(C$7:C$17,MAX(1,MIN(11,'Assumptions'!$B$25+1))))/W$32*(1-'Assumptions'!$B$80))-'Debt'!$B$26,0)</f>
        <v/>
      </c>
      <c r="X37" s="16">
        <f>D21+IF(2='Assumptions'!$B$25,IF(X$32&lt;=0,0,MAX(0,INDEX(D$7:D$17,MAX(1,MIN(11,'Assumptions'!$B$25+1))))/X$32*(1-'Assumptions'!$B$80))-'Debt'!$B$26,0)</f>
        <v/>
      </c>
      <c r="Y37" s="16">
        <f>E21+IF(2='Assumptions'!$B$25,IF(Y$32&lt;=0,0,MAX(0,INDEX(E$7:E$17,MAX(1,MIN(11,'Assumptions'!$B$25+1))))/Y$32*(1-'Assumptions'!$B$80))-'Debt'!$B$26,0)</f>
        <v/>
      </c>
      <c r="Z37" s="16">
        <f>F21+IF(2='Assumptions'!$B$25,IF(Z$32&lt;=0,0,MAX(0,INDEX(F$7:F$17,MAX(1,MIN(11,'Assumptions'!$B$25+1))))/Z$32*(1-'Assumptions'!$B$80))-'Debt'!$B$26,0)</f>
        <v/>
      </c>
    </row>
    <row r="38">
      <c r="A38" s="4" t="inlineStr">
        <is>
          <t>Levered cash flow year 3</t>
        </is>
      </c>
      <c r="B38" s="16">
        <f>B22+IF(3='Assumptions'!$B$25,IF(B$32&lt;=0,0,MAX(0,INDEX(B$7:B$17,MAX(1,MIN(11,'Assumptions'!$B$25+1))))/B$32*(1-'Assumptions'!$B$80))-'Debt'!$B$26,0)</f>
        <v/>
      </c>
      <c r="C38" s="16">
        <f>C22+IF(3='Assumptions'!$B$25,IF(C$32&lt;=0,0,MAX(0,INDEX(C$7:C$17,MAX(1,MIN(11,'Assumptions'!$B$25+1))))/C$32*(1-'Assumptions'!$B$80))-'Debt'!$B$26,0)</f>
        <v/>
      </c>
      <c r="D38" s="16">
        <f>D22+IF(3='Assumptions'!$B$25,IF(D$32&lt;=0,0,MAX(0,INDEX(D$7:D$17,MAX(1,MIN(11,'Assumptions'!$B$25+1))))/D$32*(1-'Assumptions'!$B$80))-'Debt'!$B$26,0)</f>
        <v/>
      </c>
      <c r="E38" s="16">
        <f>E22+IF(3='Assumptions'!$B$25,IF(E$32&lt;=0,0,MAX(0,INDEX(E$7:E$17,MAX(1,MIN(11,'Assumptions'!$B$25+1))))/E$32*(1-'Assumptions'!$B$80))-'Debt'!$B$26,0)</f>
        <v/>
      </c>
      <c r="F38" s="16">
        <f>F22+IF(3='Assumptions'!$B$25,IF(F$32&lt;=0,0,MAX(0,INDEX(F$7:F$17,MAX(1,MIN(11,'Assumptions'!$B$25+1))))/F$32*(1-'Assumptions'!$B$80))-'Debt'!$B$26,0)</f>
        <v/>
      </c>
      <c r="G38" s="16">
        <f>B22+IF(3='Assumptions'!$B$25,IF(G$32&lt;=0,0,MAX(0,INDEX(B$7:B$17,MAX(1,MIN(11,'Assumptions'!$B$25+1))))/G$32*(1-'Assumptions'!$B$80))-'Debt'!$B$26,0)</f>
        <v/>
      </c>
      <c r="H38" s="16">
        <f>C22+IF(3='Assumptions'!$B$25,IF(H$32&lt;=0,0,MAX(0,INDEX(C$7:C$17,MAX(1,MIN(11,'Assumptions'!$B$25+1))))/H$32*(1-'Assumptions'!$B$80))-'Debt'!$B$26,0)</f>
        <v/>
      </c>
      <c r="I38" s="16">
        <f>D22+IF(3='Assumptions'!$B$25,IF(I$32&lt;=0,0,MAX(0,INDEX(D$7:D$17,MAX(1,MIN(11,'Assumptions'!$B$25+1))))/I$32*(1-'Assumptions'!$B$80))-'Debt'!$B$26,0)</f>
        <v/>
      </c>
      <c r="J38" s="16">
        <f>E22+IF(3='Assumptions'!$B$25,IF(J$32&lt;=0,0,MAX(0,INDEX(E$7:E$17,MAX(1,MIN(11,'Assumptions'!$B$25+1))))/J$32*(1-'Assumptions'!$B$80))-'Debt'!$B$26,0)</f>
        <v/>
      </c>
      <c r="K38" s="16">
        <f>F22+IF(3='Assumptions'!$B$25,IF(K$32&lt;=0,0,MAX(0,INDEX(F$7:F$17,MAX(1,MIN(11,'Assumptions'!$B$25+1))))/K$32*(1-'Assumptions'!$B$80))-'Debt'!$B$26,0)</f>
        <v/>
      </c>
      <c r="L38" s="16">
        <f>B22+IF(3='Assumptions'!$B$25,IF(L$32&lt;=0,0,MAX(0,INDEX(B$7:B$17,MAX(1,MIN(11,'Assumptions'!$B$25+1))))/L$32*(1-'Assumptions'!$B$80))-'Debt'!$B$26,0)</f>
        <v/>
      </c>
      <c r="M38" s="16">
        <f>C22+IF(3='Assumptions'!$B$25,IF(M$32&lt;=0,0,MAX(0,INDEX(C$7:C$17,MAX(1,MIN(11,'Assumptions'!$B$25+1))))/M$32*(1-'Assumptions'!$B$80))-'Debt'!$B$26,0)</f>
        <v/>
      </c>
      <c r="N38" s="16">
        <f>D22+IF(3='Assumptions'!$B$25,IF(N$32&lt;=0,0,MAX(0,INDEX(D$7:D$17,MAX(1,MIN(11,'Assumptions'!$B$25+1))))/N$32*(1-'Assumptions'!$B$80))-'Debt'!$B$26,0)</f>
        <v/>
      </c>
      <c r="O38" s="16">
        <f>E22+IF(3='Assumptions'!$B$25,IF(O$32&lt;=0,0,MAX(0,INDEX(E$7:E$17,MAX(1,MIN(11,'Assumptions'!$B$25+1))))/O$32*(1-'Assumptions'!$B$80))-'Debt'!$B$26,0)</f>
        <v/>
      </c>
      <c r="P38" s="16">
        <f>F22+IF(3='Assumptions'!$B$25,IF(P$32&lt;=0,0,MAX(0,INDEX(F$7:F$17,MAX(1,MIN(11,'Assumptions'!$B$25+1))))/P$32*(1-'Assumptions'!$B$80))-'Debt'!$B$26,0)</f>
        <v/>
      </c>
      <c r="Q38" s="16">
        <f>B22+IF(3='Assumptions'!$B$25,IF(Q$32&lt;=0,0,MAX(0,INDEX(B$7:B$17,MAX(1,MIN(11,'Assumptions'!$B$25+1))))/Q$32*(1-'Assumptions'!$B$80))-'Debt'!$B$26,0)</f>
        <v/>
      </c>
      <c r="R38" s="16">
        <f>C22+IF(3='Assumptions'!$B$25,IF(R$32&lt;=0,0,MAX(0,INDEX(C$7:C$17,MAX(1,MIN(11,'Assumptions'!$B$25+1))))/R$32*(1-'Assumptions'!$B$80))-'Debt'!$B$26,0)</f>
        <v/>
      </c>
      <c r="S38" s="16">
        <f>D22+IF(3='Assumptions'!$B$25,IF(S$32&lt;=0,0,MAX(0,INDEX(D$7:D$17,MAX(1,MIN(11,'Assumptions'!$B$25+1))))/S$32*(1-'Assumptions'!$B$80))-'Debt'!$B$26,0)</f>
        <v/>
      </c>
      <c r="T38" s="16">
        <f>E22+IF(3='Assumptions'!$B$25,IF(T$32&lt;=0,0,MAX(0,INDEX(E$7:E$17,MAX(1,MIN(11,'Assumptions'!$B$25+1))))/T$32*(1-'Assumptions'!$B$80))-'Debt'!$B$26,0)</f>
        <v/>
      </c>
      <c r="U38" s="16">
        <f>F22+IF(3='Assumptions'!$B$25,IF(U$32&lt;=0,0,MAX(0,INDEX(F$7:F$17,MAX(1,MIN(11,'Assumptions'!$B$25+1))))/U$32*(1-'Assumptions'!$B$80))-'Debt'!$B$26,0)</f>
        <v/>
      </c>
      <c r="V38" s="16">
        <f>B22+IF(3='Assumptions'!$B$25,IF(V$32&lt;=0,0,MAX(0,INDEX(B$7:B$17,MAX(1,MIN(11,'Assumptions'!$B$25+1))))/V$32*(1-'Assumptions'!$B$80))-'Debt'!$B$26,0)</f>
        <v/>
      </c>
      <c r="W38" s="16">
        <f>C22+IF(3='Assumptions'!$B$25,IF(W$32&lt;=0,0,MAX(0,INDEX(C$7:C$17,MAX(1,MIN(11,'Assumptions'!$B$25+1))))/W$32*(1-'Assumptions'!$B$80))-'Debt'!$B$26,0)</f>
        <v/>
      </c>
      <c r="X38" s="16">
        <f>D22+IF(3='Assumptions'!$B$25,IF(X$32&lt;=0,0,MAX(0,INDEX(D$7:D$17,MAX(1,MIN(11,'Assumptions'!$B$25+1))))/X$32*(1-'Assumptions'!$B$80))-'Debt'!$B$26,0)</f>
        <v/>
      </c>
      <c r="Y38" s="16">
        <f>E22+IF(3='Assumptions'!$B$25,IF(Y$32&lt;=0,0,MAX(0,INDEX(E$7:E$17,MAX(1,MIN(11,'Assumptions'!$B$25+1))))/Y$32*(1-'Assumptions'!$B$80))-'Debt'!$B$26,0)</f>
        <v/>
      </c>
      <c r="Z38" s="16">
        <f>F22+IF(3='Assumptions'!$B$25,IF(Z$32&lt;=0,0,MAX(0,INDEX(F$7:F$17,MAX(1,MIN(11,'Assumptions'!$B$25+1))))/Z$32*(1-'Assumptions'!$B$80))-'Debt'!$B$26,0)</f>
        <v/>
      </c>
    </row>
    <row r="39">
      <c r="A39" s="4" t="inlineStr">
        <is>
          <t>Levered cash flow year 4</t>
        </is>
      </c>
      <c r="B39" s="16">
        <f>B23+IF(4='Assumptions'!$B$25,IF(B$32&lt;=0,0,MAX(0,INDEX(B$7:B$17,MAX(1,MIN(11,'Assumptions'!$B$25+1))))/B$32*(1-'Assumptions'!$B$80))-'Debt'!$B$26,0)</f>
        <v/>
      </c>
      <c r="C39" s="16">
        <f>C23+IF(4='Assumptions'!$B$25,IF(C$32&lt;=0,0,MAX(0,INDEX(C$7:C$17,MAX(1,MIN(11,'Assumptions'!$B$25+1))))/C$32*(1-'Assumptions'!$B$80))-'Debt'!$B$26,0)</f>
        <v/>
      </c>
      <c r="D39" s="16">
        <f>D23+IF(4='Assumptions'!$B$25,IF(D$32&lt;=0,0,MAX(0,INDEX(D$7:D$17,MAX(1,MIN(11,'Assumptions'!$B$25+1))))/D$32*(1-'Assumptions'!$B$80))-'Debt'!$B$26,0)</f>
        <v/>
      </c>
      <c r="E39" s="16">
        <f>E23+IF(4='Assumptions'!$B$25,IF(E$32&lt;=0,0,MAX(0,INDEX(E$7:E$17,MAX(1,MIN(11,'Assumptions'!$B$25+1))))/E$32*(1-'Assumptions'!$B$80))-'Debt'!$B$26,0)</f>
        <v/>
      </c>
      <c r="F39" s="16">
        <f>F23+IF(4='Assumptions'!$B$25,IF(F$32&lt;=0,0,MAX(0,INDEX(F$7:F$17,MAX(1,MIN(11,'Assumptions'!$B$25+1))))/F$32*(1-'Assumptions'!$B$80))-'Debt'!$B$26,0)</f>
        <v/>
      </c>
      <c r="G39" s="16">
        <f>B23+IF(4='Assumptions'!$B$25,IF(G$32&lt;=0,0,MAX(0,INDEX(B$7:B$17,MAX(1,MIN(11,'Assumptions'!$B$25+1))))/G$32*(1-'Assumptions'!$B$80))-'Debt'!$B$26,0)</f>
        <v/>
      </c>
      <c r="H39" s="16">
        <f>C23+IF(4='Assumptions'!$B$25,IF(H$32&lt;=0,0,MAX(0,INDEX(C$7:C$17,MAX(1,MIN(11,'Assumptions'!$B$25+1))))/H$32*(1-'Assumptions'!$B$80))-'Debt'!$B$26,0)</f>
        <v/>
      </c>
      <c r="I39" s="16">
        <f>D23+IF(4='Assumptions'!$B$25,IF(I$32&lt;=0,0,MAX(0,INDEX(D$7:D$17,MAX(1,MIN(11,'Assumptions'!$B$25+1))))/I$32*(1-'Assumptions'!$B$80))-'Debt'!$B$26,0)</f>
        <v/>
      </c>
      <c r="J39" s="16">
        <f>E23+IF(4='Assumptions'!$B$25,IF(J$32&lt;=0,0,MAX(0,INDEX(E$7:E$17,MAX(1,MIN(11,'Assumptions'!$B$25+1))))/J$32*(1-'Assumptions'!$B$80))-'Debt'!$B$26,0)</f>
        <v/>
      </c>
      <c r="K39" s="16">
        <f>F23+IF(4='Assumptions'!$B$25,IF(K$32&lt;=0,0,MAX(0,INDEX(F$7:F$17,MAX(1,MIN(11,'Assumptions'!$B$25+1))))/K$32*(1-'Assumptions'!$B$80))-'Debt'!$B$26,0)</f>
        <v/>
      </c>
      <c r="L39" s="16">
        <f>B23+IF(4='Assumptions'!$B$25,IF(L$32&lt;=0,0,MAX(0,INDEX(B$7:B$17,MAX(1,MIN(11,'Assumptions'!$B$25+1))))/L$32*(1-'Assumptions'!$B$80))-'Debt'!$B$26,0)</f>
        <v/>
      </c>
      <c r="M39" s="16">
        <f>C23+IF(4='Assumptions'!$B$25,IF(M$32&lt;=0,0,MAX(0,INDEX(C$7:C$17,MAX(1,MIN(11,'Assumptions'!$B$25+1))))/M$32*(1-'Assumptions'!$B$80))-'Debt'!$B$26,0)</f>
        <v/>
      </c>
      <c r="N39" s="16">
        <f>D23+IF(4='Assumptions'!$B$25,IF(N$32&lt;=0,0,MAX(0,INDEX(D$7:D$17,MAX(1,MIN(11,'Assumptions'!$B$25+1))))/N$32*(1-'Assumptions'!$B$80))-'Debt'!$B$26,0)</f>
        <v/>
      </c>
      <c r="O39" s="16">
        <f>E23+IF(4='Assumptions'!$B$25,IF(O$32&lt;=0,0,MAX(0,INDEX(E$7:E$17,MAX(1,MIN(11,'Assumptions'!$B$25+1))))/O$32*(1-'Assumptions'!$B$80))-'Debt'!$B$26,0)</f>
        <v/>
      </c>
      <c r="P39" s="16">
        <f>F23+IF(4='Assumptions'!$B$25,IF(P$32&lt;=0,0,MAX(0,INDEX(F$7:F$17,MAX(1,MIN(11,'Assumptions'!$B$25+1))))/P$32*(1-'Assumptions'!$B$80))-'Debt'!$B$26,0)</f>
        <v/>
      </c>
      <c r="Q39" s="16">
        <f>B23+IF(4='Assumptions'!$B$25,IF(Q$32&lt;=0,0,MAX(0,INDEX(B$7:B$17,MAX(1,MIN(11,'Assumptions'!$B$25+1))))/Q$32*(1-'Assumptions'!$B$80))-'Debt'!$B$26,0)</f>
        <v/>
      </c>
      <c r="R39" s="16">
        <f>C23+IF(4='Assumptions'!$B$25,IF(R$32&lt;=0,0,MAX(0,INDEX(C$7:C$17,MAX(1,MIN(11,'Assumptions'!$B$25+1))))/R$32*(1-'Assumptions'!$B$80))-'Debt'!$B$26,0)</f>
        <v/>
      </c>
      <c r="S39" s="16">
        <f>D23+IF(4='Assumptions'!$B$25,IF(S$32&lt;=0,0,MAX(0,INDEX(D$7:D$17,MAX(1,MIN(11,'Assumptions'!$B$25+1))))/S$32*(1-'Assumptions'!$B$80))-'Debt'!$B$26,0)</f>
        <v/>
      </c>
      <c r="T39" s="16">
        <f>E23+IF(4='Assumptions'!$B$25,IF(T$32&lt;=0,0,MAX(0,INDEX(E$7:E$17,MAX(1,MIN(11,'Assumptions'!$B$25+1))))/T$32*(1-'Assumptions'!$B$80))-'Debt'!$B$26,0)</f>
        <v/>
      </c>
      <c r="U39" s="16">
        <f>F23+IF(4='Assumptions'!$B$25,IF(U$32&lt;=0,0,MAX(0,INDEX(F$7:F$17,MAX(1,MIN(11,'Assumptions'!$B$25+1))))/U$32*(1-'Assumptions'!$B$80))-'Debt'!$B$26,0)</f>
        <v/>
      </c>
      <c r="V39" s="16">
        <f>B23+IF(4='Assumptions'!$B$25,IF(V$32&lt;=0,0,MAX(0,INDEX(B$7:B$17,MAX(1,MIN(11,'Assumptions'!$B$25+1))))/V$32*(1-'Assumptions'!$B$80))-'Debt'!$B$26,0)</f>
        <v/>
      </c>
      <c r="W39" s="16">
        <f>C23+IF(4='Assumptions'!$B$25,IF(W$32&lt;=0,0,MAX(0,INDEX(C$7:C$17,MAX(1,MIN(11,'Assumptions'!$B$25+1))))/W$32*(1-'Assumptions'!$B$80))-'Debt'!$B$26,0)</f>
        <v/>
      </c>
      <c r="X39" s="16">
        <f>D23+IF(4='Assumptions'!$B$25,IF(X$32&lt;=0,0,MAX(0,INDEX(D$7:D$17,MAX(1,MIN(11,'Assumptions'!$B$25+1))))/X$32*(1-'Assumptions'!$B$80))-'Debt'!$B$26,0)</f>
        <v/>
      </c>
      <c r="Y39" s="16">
        <f>E23+IF(4='Assumptions'!$B$25,IF(Y$32&lt;=0,0,MAX(0,INDEX(E$7:E$17,MAX(1,MIN(11,'Assumptions'!$B$25+1))))/Y$32*(1-'Assumptions'!$B$80))-'Debt'!$B$26,0)</f>
        <v/>
      </c>
      <c r="Z39" s="16">
        <f>F23+IF(4='Assumptions'!$B$25,IF(Z$32&lt;=0,0,MAX(0,INDEX(F$7:F$17,MAX(1,MIN(11,'Assumptions'!$B$25+1))))/Z$32*(1-'Assumptions'!$B$80))-'Debt'!$B$26,0)</f>
        <v/>
      </c>
    </row>
    <row r="40">
      <c r="A40" s="4" t="inlineStr">
        <is>
          <t>Levered cash flow year 5</t>
        </is>
      </c>
      <c r="B40" s="16">
        <f>B24+IF(5='Assumptions'!$B$25,IF(B$32&lt;=0,0,MAX(0,INDEX(B$7:B$17,MAX(1,MIN(11,'Assumptions'!$B$25+1))))/B$32*(1-'Assumptions'!$B$80))-'Debt'!$B$26,0)</f>
        <v/>
      </c>
      <c r="C40" s="16">
        <f>C24+IF(5='Assumptions'!$B$25,IF(C$32&lt;=0,0,MAX(0,INDEX(C$7:C$17,MAX(1,MIN(11,'Assumptions'!$B$25+1))))/C$32*(1-'Assumptions'!$B$80))-'Debt'!$B$26,0)</f>
        <v/>
      </c>
      <c r="D40" s="16">
        <f>D24+IF(5='Assumptions'!$B$25,IF(D$32&lt;=0,0,MAX(0,INDEX(D$7:D$17,MAX(1,MIN(11,'Assumptions'!$B$25+1))))/D$32*(1-'Assumptions'!$B$80))-'Debt'!$B$26,0)</f>
        <v/>
      </c>
      <c r="E40" s="16">
        <f>E24+IF(5='Assumptions'!$B$25,IF(E$32&lt;=0,0,MAX(0,INDEX(E$7:E$17,MAX(1,MIN(11,'Assumptions'!$B$25+1))))/E$32*(1-'Assumptions'!$B$80))-'Debt'!$B$26,0)</f>
        <v/>
      </c>
      <c r="F40" s="16">
        <f>F24+IF(5='Assumptions'!$B$25,IF(F$32&lt;=0,0,MAX(0,INDEX(F$7:F$17,MAX(1,MIN(11,'Assumptions'!$B$25+1))))/F$32*(1-'Assumptions'!$B$80))-'Debt'!$B$26,0)</f>
        <v/>
      </c>
      <c r="G40" s="16">
        <f>B24+IF(5='Assumptions'!$B$25,IF(G$32&lt;=0,0,MAX(0,INDEX(B$7:B$17,MAX(1,MIN(11,'Assumptions'!$B$25+1))))/G$32*(1-'Assumptions'!$B$80))-'Debt'!$B$26,0)</f>
        <v/>
      </c>
      <c r="H40" s="16">
        <f>C24+IF(5='Assumptions'!$B$25,IF(H$32&lt;=0,0,MAX(0,INDEX(C$7:C$17,MAX(1,MIN(11,'Assumptions'!$B$25+1))))/H$32*(1-'Assumptions'!$B$80))-'Debt'!$B$26,0)</f>
        <v/>
      </c>
      <c r="I40" s="16">
        <f>D24+IF(5='Assumptions'!$B$25,IF(I$32&lt;=0,0,MAX(0,INDEX(D$7:D$17,MAX(1,MIN(11,'Assumptions'!$B$25+1))))/I$32*(1-'Assumptions'!$B$80))-'Debt'!$B$26,0)</f>
        <v/>
      </c>
      <c r="J40" s="16">
        <f>E24+IF(5='Assumptions'!$B$25,IF(J$32&lt;=0,0,MAX(0,INDEX(E$7:E$17,MAX(1,MIN(11,'Assumptions'!$B$25+1))))/J$32*(1-'Assumptions'!$B$80))-'Debt'!$B$26,0)</f>
        <v/>
      </c>
      <c r="K40" s="16">
        <f>F24+IF(5='Assumptions'!$B$25,IF(K$32&lt;=0,0,MAX(0,INDEX(F$7:F$17,MAX(1,MIN(11,'Assumptions'!$B$25+1))))/K$32*(1-'Assumptions'!$B$80))-'Debt'!$B$26,0)</f>
        <v/>
      </c>
      <c r="L40" s="16">
        <f>B24+IF(5='Assumptions'!$B$25,IF(L$32&lt;=0,0,MAX(0,INDEX(B$7:B$17,MAX(1,MIN(11,'Assumptions'!$B$25+1))))/L$32*(1-'Assumptions'!$B$80))-'Debt'!$B$26,0)</f>
        <v/>
      </c>
      <c r="M40" s="16">
        <f>C24+IF(5='Assumptions'!$B$25,IF(M$32&lt;=0,0,MAX(0,INDEX(C$7:C$17,MAX(1,MIN(11,'Assumptions'!$B$25+1))))/M$32*(1-'Assumptions'!$B$80))-'Debt'!$B$26,0)</f>
        <v/>
      </c>
      <c r="N40" s="16">
        <f>D24+IF(5='Assumptions'!$B$25,IF(N$32&lt;=0,0,MAX(0,INDEX(D$7:D$17,MAX(1,MIN(11,'Assumptions'!$B$25+1))))/N$32*(1-'Assumptions'!$B$80))-'Debt'!$B$26,0)</f>
        <v/>
      </c>
      <c r="O40" s="16">
        <f>E24+IF(5='Assumptions'!$B$25,IF(O$32&lt;=0,0,MAX(0,INDEX(E$7:E$17,MAX(1,MIN(11,'Assumptions'!$B$25+1))))/O$32*(1-'Assumptions'!$B$80))-'Debt'!$B$26,0)</f>
        <v/>
      </c>
      <c r="P40" s="16">
        <f>F24+IF(5='Assumptions'!$B$25,IF(P$32&lt;=0,0,MAX(0,INDEX(F$7:F$17,MAX(1,MIN(11,'Assumptions'!$B$25+1))))/P$32*(1-'Assumptions'!$B$80))-'Debt'!$B$26,0)</f>
        <v/>
      </c>
      <c r="Q40" s="16">
        <f>B24+IF(5='Assumptions'!$B$25,IF(Q$32&lt;=0,0,MAX(0,INDEX(B$7:B$17,MAX(1,MIN(11,'Assumptions'!$B$25+1))))/Q$32*(1-'Assumptions'!$B$80))-'Debt'!$B$26,0)</f>
        <v/>
      </c>
      <c r="R40" s="16">
        <f>C24+IF(5='Assumptions'!$B$25,IF(R$32&lt;=0,0,MAX(0,INDEX(C$7:C$17,MAX(1,MIN(11,'Assumptions'!$B$25+1))))/R$32*(1-'Assumptions'!$B$80))-'Debt'!$B$26,0)</f>
        <v/>
      </c>
      <c r="S40" s="16">
        <f>D24+IF(5='Assumptions'!$B$25,IF(S$32&lt;=0,0,MAX(0,INDEX(D$7:D$17,MAX(1,MIN(11,'Assumptions'!$B$25+1))))/S$32*(1-'Assumptions'!$B$80))-'Debt'!$B$26,0)</f>
        <v/>
      </c>
      <c r="T40" s="16">
        <f>E24+IF(5='Assumptions'!$B$25,IF(T$32&lt;=0,0,MAX(0,INDEX(E$7:E$17,MAX(1,MIN(11,'Assumptions'!$B$25+1))))/T$32*(1-'Assumptions'!$B$80))-'Debt'!$B$26,0)</f>
        <v/>
      </c>
      <c r="U40" s="16">
        <f>F24+IF(5='Assumptions'!$B$25,IF(U$32&lt;=0,0,MAX(0,INDEX(F$7:F$17,MAX(1,MIN(11,'Assumptions'!$B$25+1))))/U$32*(1-'Assumptions'!$B$80))-'Debt'!$B$26,0)</f>
        <v/>
      </c>
      <c r="V40" s="16">
        <f>B24+IF(5='Assumptions'!$B$25,IF(V$32&lt;=0,0,MAX(0,INDEX(B$7:B$17,MAX(1,MIN(11,'Assumptions'!$B$25+1))))/V$32*(1-'Assumptions'!$B$80))-'Debt'!$B$26,0)</f>
        <v/>
      </c>
      <c r="W40" s="16">
        <f>C24+IF(5='Assumptions'!$B$25,IF(W$32&lt;=0,0,MAX(0,INDEX(C$7:C$17,MAX(1,MIN(11,'Assumptions'!$B$25+1))))/W$32*(1-'Assumptions'!$B$80))-'Debt'!$B$26,0)</f>
        <v/>
      </c>
      <c r="X40" s="16">
        <f>D24+IF(5='Assumptions'!$B$25,IF(X$32&lt;=0,0,MAX(0,INDEX(D$7:D$17,MAX(1,MIN(11,'Assumptions'!$B$25+1))))/X$32*(1-'Assumptions'!$B$80))-'Debt'!$B$26,0)</f>
        <v/>
      </c>
      <c r="Y40" s="16">
        <f>E24+IF(5='Assumptions'!$B$25,IF(Y$32&lt;=0,0,MAX(0,INDEX(E$7:E$17,MAX(1,MIN(11,'Assumptions'!$B$25+1))))/Y$32*(1-'Assumptions'!$B$80))-'Debt'!$B$26,0)</f>
        <v/>
      </c>
      <c r="Z40" s="16">
        <f>F24+IF(5='Assumptions'!$B$25,IF(Z$32&lt;=0,0,MAX(0,INDEX(F$7:F$17,MAX(1,MIN(11,'Assumptions'!$B$25+1))))/Z$32*(1-'Assumptions'!$B$80))-'Debt'!$B$26,0)</f>
        <v/>
      </c>
    </row>
    <row r="41">
      <c r="A41" s="4" t="inlineStr">
        <is>
          <t>Levered cash flow year 6</t>
        </is>
      </c>
      <c r="B41" s="16">
        <f>B25+IF(6='Assumptions'!$B$25,IF(B$32&lt;=0,0,MAX(0,INDEX(B$7:B$17,MAX(1,MIN(11,'Assumptions'!$B$25+1))))/B$32*(1-'Assumptions'!$B$80))-'Debt'!$B$26,0)</f>
        <v/>
      </c>
      <c r="C41" s="16">
        <f>C25+IF(6='Assumptions'!$B$25,IF(C$32&lt;=0,0,MAX(0,INDEX(C$7:C$17,MAX(1,MIN(11,'Assumptions'!$B$25+1))))/C$32*(1-'Assumptions'!$B$80))-'Debt'!$B$26,0)</f>
        <v/>
      </c>
      <c r="D41" s="16">
        <f>D25+IF(6='Assumptions'!$B$25,IF(D$32&lt;=0,0,MAX(0,INDEX(D$7:D$17,MAX(1,MIN(11,'Assumptions'!$B$25+1))))/D$32*(1-'Assumptions'!$B$80))-'Debt'!$B$26,0)</f>
        <v/>
      </c>
      <c r="E41" s="16">
        <f>E25+IF(6='Assumptions'!$B$25,IF(E$32&lt;=0,0,MAX(0,INDEX(E$7:E$17,MAX(1,MIN(11,'Assumptions'!$B$25+1))))/E$32*(1-'Assumptions'!$B$80))-'Debt'!$B$26,0)</f>
        <v/>
      </c>
      <c r="F41" s="16">
        <f>F25+IF(6='Assumptions'!$B$25,IF(F$32&lt;=0,0,MAX(0,INDEX(F$7:F$17,MAX(1,MIN(11,'Assumptions'!$B$25+1))))/F$32*(1-'Assumptions'!$B$80))-'Debt'!$B$26,0)</f>
        <v/>
      </c>
      <c r="G41" s="16">
        <f>B25+IF(6='Assumptions'!$B$25,IF(G$32&lt;=0,0,MAX(0,INDEX(B$7:B$17,MAX(1,MIN(11,'Assumptions'!$B$25+1))))/G$32*(1-'Assumptions'!$B$80))-'Debt'!$B$26,0)</f>
        <v/>
      </c>
      <c r="H41" s="16">
        <f>C25+IF(6='Assumptions'!$B$25,IF(H$32&lt;=0,0,MAX(0,INDEX(C$7:C$17,MAX(1,MIN(11,'Assumptions'!$B$25+1))))/H$32*(1-'Assumptions'!$B$80))-'Debt'!$B$26,0)</f>
        <v/>
      </c>
      <c r="I41" s="16">
        <f>D25+IF(6='Assumptions'!$B$25,IF(I$32&lt;=0,0,MAX(0,INDEX(D$7:D$17,MAX(1,MIN(11,'Assumptions'!$B$25+1))))/I$32*(1-'Assumptions'!$B$80))-'Debt'!$B$26,0)</f>
        <v/>
      </c>
      <c r="J41" s="16">
        <f>E25+IF(6='Assumptions'!$B$25,IF(J$32&lt;=0,0,MAX(0,INDEX(E$7:E$17,MAX(1,MIN(11,'Assumptions'!$B$25+1))))/J$32*(1-'Assumptions'!$B$80))-'Debt'!$B$26,0)</f>
        <v/>
      </c>
      <c r="K41" s="16">
        <f>F25+IF(6='Assumptions'!$B$25,IF(K$32&lt;=0,0,MAX(0,INDEX(F$7:F$17,MAX(1,MIN(11,'Assumptions'!$B$25+1))))/K$32*(1-'Assumptions'!$B$80))-'Debt'!$B$26,0)</f>
        <v/>
      </c>
      <c r="L41" s="16">
        <f>B25+IF(6='Assumptions'!$B$25,IF(L$32&lt;=0,0,MAX(0,INDEX(B$7:B$17,MAX(1,MIN(11,'Assumptions'!$B$25+1))))/L$32*(1-'Assumptions'!$B$80))-'Debt'!$B$26,0)</f>
        <v/>
      </c>
      <c r="M41" s="16">
        <f>C25+IF(6='Assumptions'!$B$25,IF(M$32&lt;=0,0,MAX(0,INDEX(C$7:C$17,MAX(1,MIN(11,'Assumptions'!$B$25+1))))/M$32*(1-'Assumptions'!$B$80))-'Debt'!$B$26,0)</f>
        <v/>
      </c>
      <c r="N41" s="16">
        <f>D25+IF(6='Assumptions'!$B$25,IF(N$32&lt;=0,0,MAX(0,INDEX(D$7:D$17,MAX(1,MIN(11,'Assumptions'!$B$25+1))))/N$32*(1-'Assumptions'!$B$80))-'Debt'!$B$26,0)</f>
        <v/>
      </c>
      <c r="O41" s="16">
        <f>E25+IF(6='Assumptions'!$B$25,IF(O$32&lt;=0,0,MAX(0,INDEX(E$7:E$17,MAX(1,MIN(11,'Assumptions'!$B$25+1))))/O$32*(1-'Assumptions'!$B$80))-'Debt'!$B$26,0)</f>
        <v/>
      </c>
      <c r="P41" s="16">
        <f>F25+IF(6='Assumptions'!$B$25,IF(P$32&lt;=0,0,MAX(0,INDEX(F$7:F$17,MAX(1,MIN(11,'Assumptions'!$B$25+1))))/P$32*(1-'Assumptions'!$B$80))-'Debt'!$B$26,0)</f>
        <v/>
      </c>
      <c r="Q41" s="16">
        <f>B25+IF(6='Assumptions'!$B$25,IF(Q$32&lt;=0,0,MAX(0,INDEX(B$7:B$17,MAX(1,MIN(11,'Assumptions'!$B$25+1))))/Q$32*(1-'Assumptions'!$B$80))-'Debt'!$B$26,0)</f>
        <v/>
      </c>
      <c r="R41" s="16">
        <f>C25+IF(6='Assumptions'!$B$25,IF(R$32&lt;=0,0,MAX(0,INDEX(C$7:C$17,MAX(1,MIN(11,'Assumptions'!$B$25+1))))/R$32*(1-'Assumptions'!$B$80))-'Debt'!$B$26,0)</f>
        <v/>
      </c>
      <c r="S41" s="16">
        <f>D25+IF(6='Assumptions'!$B$25,IF(S$32&lt;=0,0,MAX(0,INDEX(D$7:D$17,MAX(1,MIN(11,'Assumptions'!$B$25+1))))/S$32*(1-'Assumptions'!$B$80))-'Debt'!$B$26,0)</f>
        <v/>
      </c>
      <c r="T41" s="16">
        <f>E25+IF(6='Assumptions'!$B$25,IF(T$32&lt;=0,0,MAX(0,INDEX(E$7:E$17,MAX(1,MIN(11,'Assumptions'!$B$25+1))))/T$32*(1-'Assumptions'!$B$80))-'Debt'!$B$26,0)</f>
        <v/>
      </c>
      <c r="U41" s="16">
        <f>F25+IF(6='Assumptions'!$B$25,IF(U$32&lt;=0,0,MAX(0,INDEX(F$7:F$17,MAX(1,MIN(11,'Assumptions'!$B$25+1))))/U$32*(1-'Assumptions'!$B$80))-'Debt'!$B$26,0)</f>
        <v/>
      </c>
      <c r="V41" s="16">
        <f>B25+IF(6='Assumptions'!$B$25,IF(V$32&lt;=0,0,MAX(0,INDEX(B$7:B$17,MAX(1,MIN(11,'Assumptions'!$B$25+1))))/V$32*(1-'Assumptions'!$B$80))-'Debt'!$B$26,0)</f>
        <v/>
      </c>
      <c r="W41" s="16">
        <f>C25+IF(6='Assumptions'!$B$25,IF(W$32&lt;=0,0,MAX(0,INDEX(C$7:C$17,MAX(1,MIN(11,'Assumptions'!$B$25+1))))/W$32*(1-'Assumptions'!$B$80))-'Debt'!$B$26,0)</f>
        <v/>
      </c>
      <c r="X41" s="16">
        <f>D25+IF(6='Assumptions'!$B$25,IF(X$32&lt;=0,0,MAX(0,INDEX(D$7:D$17,MAX(1,MIN(11,'Assumptions'!$B$25+1))))/X$32*(1-'Assumptions'!$B$80))-'Debt'!$B$26,0)</f>
        <v/>
      </c>
      <c r="Y41" s="16">
        <f>E25+IF(6='Assumptions'!$B$25,IF(Y$32&lt;=0,0,MAX(0,INDEX(E$7:E$17,MAX(1,MIN(11,'Assumptions'!$B$25+1))))/Y$32*(1-'Assumptions'!$B$80))-'Debt'!$B$26,0)</f>
        <v/>
      </c>
      <c r="Z41" s="16">
        <f>F25+IF(6='Assumptions'!$B$25,IF(Z$32&lt;=0,0,MAX(0,INDEX(F$7:F$17,MAX(1,MIN(11,'Assumptions'!$B$25+1))))/Z$32*(1-'Assumptions'!$B$80))-'Debt'!$B$26,0)</f>
        <v/>
      </c>
    </row>
    <row r="42">
      <c r="A42" s="4" t="inlineStr">
        <is>
          <t>Levered cash flow year 7</t>
        </is>
      </c>
      <c r="B42" s="16">
        <f>B26+IF(7='Assumptions'!$B$25,IF(B$32&lt;=0,0,MAX(0,INDEX(B$7:B$17,MAX(1,MIN(11,'Assumptions'!$B$25+1))))/B$32*(1-'Assumptions'!$B$80))-'Debt'!$B$26,0)</f>
        <v/>
      </c>
      <c r="C42" s="16">
        <f>C26+IF(7='Assumptions'!$B$25,IF(C$32&lt;=0,0,MAX(0,INDEX(C$7:C$17,MAX(1,MIN(11,'Assumptions'!$B$25+1))))/C$32*(1-'Assumptions'!$B$80))-'Debt'!$B$26,0)</f>
        <v/>
      </c>
      <c r="D42" s="16">
        <f>D26+IF(7='Assumptions'!$B$25,IF(D$32&lt;=0,0,MAX(0,INDEX(D$7:D$17,MAX(1,MIN(11,'Assumptions'!$B$25+1))))/D$32*(1-'Assumptions'!$B$80))-'Debt'!$B$26,0)</f>
        <v/>
      </c>
      <c r="E42" s="16">
        <f>E26+IF(7='Assumptions'!$B$25,IF(E$32&lt;=0,0,MAX(0,INDEX(E$7:E$17,MAX(1,MIN(11,'Assumptions'!$B$25+1))))/E$32*(1-'Assumptions'!$B$80))-'Debt'!$B$26,0)</f>
        <v/>
      </c>
      <c r="F42" s="16">
        <f>F26+IF(7='Assumptions'!$B$25,IF(F$32&lt;=0,0,MAX(0,INDEX(F$7:F$17,MAX(1,MIN(11,'Assumptions'!$B$25+1))))/F$32*(1-'Assumptions'!$B$80))-'Debt'!$B$26,0)</f>
        <v/>
      </c>
      <c r="G42" s="16">
        <f>B26+IF(7='Assumptions'!$B$25,IF(G$32&lt;=0,0,MAX(0,INDEX(B$7:B$17,MAX(1,MIN(11,'Assumptions'!$B$25+1))))/G$32*(1-'Assumptions'!$B$80))-'Debt'!$B$26,0)</f>
        <v/>
      </c>
      <c r="H42" s="16">
        <f>C26+IF(7='Assumptions'!$B$25,IF(H$32&lt;=0,0,MAX(0,INDEX(C$7:C$17,MAX(1,MIN(11,'Assumptions'!$B$25+1))))/H$32*(1-'Assumptions'!$B$80))-'Debt'!$B$26,0)</f>
        <v/>
      </c>
      <c r="I42" s="16">
        <f>D26+IF(7='Assumptions'!$B$25,IF(I$32&lt;=0,0,MAX(0,INDEX(D$7:D$17,MAX(1,MIN(11,'Assumptions'!$B$25+1))))/I$32*(1-'Assumptions'!$B$80))-'Debt'!$B$26,0)</f>
        <v/>
      </c>
      <c r="J42" s="16">
        <f>E26+IF(7='Assumptions'!$B$25,IF(J$32&lt;=0,0,MAX(0,INDEX(E$7:E$17,MAX(1,MIN(11,'Assumptions'!$B$25+1))))/J$32*(1-'Assumptions'!$B$80))-'Debt'!$B$26,0)</f>
        <v/>
      </c>
      <c r="K42" s="16">
        <f>F26+IF(7='Assumptions'!$B$25,IF(K$32&lt;=0,0,MAX(0,INDEX(F$7:F$17,MAX(1,MIN(11,'Assumptions'!$B$25+1))))/K$32*(1-'Assumptions'!$B$80))-'Debt'!$B$26,0)</f>
        <v/>
      </c>
      <c r="L42" s="16">
        <f>B26+IF(7='Assumptions'!$B$25,IF(L$32&lt;=0,0,MAX(0,INDEX(B$7:B$17,MAX(1,MIN(11,'Assumptions'!$B$25+1))))/L$32*(1-'Assumptions'!$B$80))-'Debt'!$B$26,0)</f>
        <v/>
      </c>
      <c r="M42" s="16">
        <f>C26+IF(7='Assumptions'!$B$25,IF(M$32&lt;=0,0,MAX(0,INDEX(C$7:C$17,MAX(1,MIN(11,'Assumptions'!$B$25+1))))/M$32*(1-'Assumptions'!$B$80))-'Debt'!$B$26,0)</f>
        <v/>
      </c>
      <c r="N42" s="16">
        <f>D26+IF(7='Assumptions'!$B$25,IF(N$32&lt;=0,0,MAX(0,INDEX(D$7:D$17,MAX(1,MIN(11,'Assumptions'!$B$25+1))))/N$32*(1-'Assumptions'!$B$80))-'Debt'!$B$26,0)</f>
        <v/>
      </c>
      <c r="O42" s="16">
        <f>E26+IF(7='Assumptions'!$B$25,IF(O$32&lt;=0,0,MAX(0,INDEX(E$7:E$17,MAX(1,MIN(11,'Assumptions'!$B$25+1))))/O$32*(1-'Assumptions'!$B$80))-'Debt'!$B$26,0)</f>
        <v/>
      </c>
      <c r="P42" s="16">
        <f>F26+IF(7='Assumptions'!$B$25,IF(P$32&lt;=0,0,MAX(0,INDEX(F$7:F$17,MAX(1,MIN(11,'Assumptions'!$B$25+1))))/P$32*(1-'Assumptions'!$B$80))-'Debt'!$B$26,0)</f>
        <v/>
      </c>
      <c r="Q42" s="16">
        <f>B26+IF(7='Assumptions'!$B$25,IF(Q$32&lt;=0,0,MAX(0,INDEX(B$7:B$17,MAX(1,MIN(11,'Assumptions'!$B$25+1))))/Q$32*(1-'Assumptions'!$B$80))-'Debt'!$B$26,0)</f>
        <v/>
      </c>
      <c r="R42" s="16">
        <f>C26+IF(7='Assumptions'!$B$25,IF(R$32&lt;=0,0,MAX(0,INDEX(C$7:C$17,MAX(1,MIN(11,'Assumptions'!$B$25+1))))/R$32*(1-'Assumptions'!$B$80))-'Debt'!$B$26,0)</f>
        <v/>
      </c>
      <c r="S42" s="16">
        <f>D26+IF(7='Assumptions'!$B$25,IF(S$32&lt;=0,0,MAX(0,INDEX(D$7:D$17,MAX(1,MIN(11,'Assumptions'!$B$25+1))))/S$32*(1-'Assumptions'!$B$80))-'Debt'!$B$26,0)</f>
        <v/>
      </c>
      <c r="T42" s="16">
        <f>E26+IF(7='Assumptions'!$B$25,IF(T$32&lt;=0,0,MAX(0,INDEX(E$7:E$17,MAX(1,MIN(11,'Assumptions'!$B$25+1))))/T$32*(1-'Assumptions'!$B$80))-'Debt'!$B$26,0)</f>
        <v/>
      </c>
      <c r="U42" s="16">
        <f>F26+IF(7='Assumptions'!$B$25,IF(U$32&lt;=0,0,MAX(0,INDEX(F$7:F$17,MAX(1,MIN(11,'Assumptions'!$B$25+1))))/U$32*(1-'Assumptions'!$B$80))-'Debt'!$B$26,0)</f>
        <v/>
      </c>
      <c r="V42" s="16">
        <f>B26+IF(7='Assumptions'!$B$25,IF(V$32&lt;=0,0,MAX(0,INDEX(B$7:B$17,MAX(1,MIN(11,'Assumptions'!$B$25+1))))/V$32*(1-'Assumptions'!$B$80))-'Debt'!$B$26,0)</f>
        <v/>
      </c>
      <c r="W42" s="16">
        <f>C26+IF(7='Assumptions'!$B$25,IF(W$32&lt;=0,0,MAX(0,INDEX(C$7:C$17,MAX(1,MIN(11,'Assumptions'!$B$25+1))))/W$32*(1-'Assumptions'!$B$80))-'Debt'!$B$26,0)</f>
        <v/>
      </c>
      <c r="X42" s="16">
        <f>D26+IF(7='Assumptions'!$B$25,IF(X$32&lt;=0,0,MAX(0,INDEX(D$7:D$17,MAX(1,MIN(11,'Assumptions'!$B$25+1))))/X$32*(1-'Assumptions'!$B$80))-'Debt'!$B$26,0)</f>
        <v/>
      </c>
      <c r="Y42" s="16">
        <f>E26+IF(7='Assumptions'!$B$25,IF(Y$32&lt;=0,0,MAX(0,INDEX(E$7:E$17,MAX(1,MIN(11,'Assumptions'!$B$25+1))))/Y$32*(1-'Assumptions'!$B$80))-'Debt'!$B$26,0)</f>
        <v/>
      </c>
      <c r="Z42" s="16">
        <f>F26+IF(7='Assumptions'!$B$25,IF(Z$32&lt;=0,0,MAX(0,INDEX(F$7:F$17,MAX(1,MIN(11,'Assumptions'!$B$25+1))))/Z$32*(1-'Assumptions'!$B$80))-'Debt'!$B$26,0)</f>
        <v/>
      </c>
    </row>
    <row r="43">
      <c r="A43" s="4" t="inlineStr">
        <is>
          <t>Levered cash flow year 8</t>
        </is>
      </c>
      <c r="B43" s="16">
        <f>B27+IF(8='Assumptions'!$B$25,IF(B$32&lt;=0,0,MAX(0,INDEX(B$7:B$17,MAX(1,MIN(11,'Assumptions'!$B$25+1))))/B$32*(1-'Assumptions'!$B$80))-'Debt'!$B$26,0)</f>
        <v/>
      </c>
      <c r="C43" s="16">
        <f>C27+IF(8='Assumptions'!$B$25,IF(C$32&lt;=0,0,MAX(0,INDEX(C$7:C$17,MAX(1,MIN(11,'Assumptions'!$B$25+1))))/C$32*(1-'Assumptions'!$B$80))-'Debt'!$B$26,0)</f>
        <v/>
      </c>
      <c r="D43" s="16">
        <f>D27+IF(8='Assumptions'!$B$25,IF(D$32&lt;=0,0,MAX(0,INDEX(D$7:D$17,MAX(1,MIN(11,'Assumptions'!$B$25+1))))/D$32*(1-'Assumptions'!$B$80))-'Debt'!$B$26,0)</f>
        <v/>
      </c>
      <c r="E43" s="16">
        <f>E27+IF(8='Assumptions'!$B$25,IF(E$32&lt;=0,0,MAX(0,INDEX(E$7:E$17,MAX(1,MIN(11,'Assumptions'!$B$25+1))))/E$32*(1-'Assumptions'!$B$80))-'Debt'!$B$26,0)</f>
        <v/>
      </c>
      <c r="F43" s="16">
        <f>F27+IF(8='Assumptions'!$B$25,IF(F$32&lt;=0,0,MAX(0,INDEX(F$7:F$17,MAX(1,MIN(11,'Assumptions'!$B$25+1))))/F$32*(1-'Assumptions'!$B$80))-'Debt'!$B$26,0)</f>
        <v/>
      </c>
      <c r="G43" s="16">
        <f>B27+IF(8='Assumptions'!$B$25,IF(G$32&lt;=0,0,MAX(0,INDEX(B$7:B$17,MAX(1,MIN(11,'Assumptions'!$B$25+1))))/G$32*(1-'Assumptions'!$B$80))-'Debt'!$B$26,0)</f>
        <v/>
      </c>
      <c r="H43" s="16">
        <f>C27+IF(8='Assumptions'!$B$25,IF(H$32&lt;=0,0,MAX(0,INDEX(C$7:C$17,MAX(1,MIN(11,'Assumptions'!$B$25+1))))/H$32*(1-'Assumptions'!$B$80))-'Debt'!$B$26,0)</f>
        <v/>
      </c>
      <c r="I43" s="16">
        <f>D27+IF(8='Assumptions'!$B$25,IF(I$32&lt;=0,0,MAX(0,INDEX(D$7:D$17,MAX(1,MIN(11,'Assumptions'!$B$25+1))))/I$32*(1-'Assumptions'!$B$80))-'Debt'!$B$26,0)</f>
        <v/>
      </c>
      <c r="J43" s="16">
        <f>E27+IF(8='Assumptions'!$B$25,IF(J$32&lt;=0,0,MAX(0,INDEX(E$7:E$17,MAX(1,MIN(11,'Assumptions'!$B$25+1))))/J$32*(1-'Assumptions'!$B$80))-'Debt'!$B$26,0)</f>
        <v/>
      </c>
      <c r="K43" s="16">
        <f>F27+IF(8='Assumptions'!$B$25,IF(K$32&lt;=0,0,MAX(0,INDEX(F$7:F$17,MAX(1,MIN(11,'Assumptions'!$B$25+1))))/K$32*(1-'Assumptions'!$B$80))-'Debt'!$B$26,0)</f>
        <v/>
      </c>
      <c r="L43" s="16">
        <f>B27+IF(8='Assumptions'!$B$25,IF(L$32&lt;=0,0,MAX(0,INDEX(B$7:B$17,MAX(1,MIN(11,'Assumptions'!$B$25+1))))/L$32*(1-'Assumptions'!$B$80))-'Debt'!$B$26,0)</f>
        <v/>
      </c>
      <c r="M43" s="16">
        <f>C27+IF(8='Assumptions'!$B$25,IF(M$32&lt;=0,0,MAX(0,INDEX(C$7:C$17,MAX(1,MIN(11,'Assumptions'!$B$25+1))))/M$32*(1-'Assumptions'!$B$80))-'Debt'!$B$26,0)</f>
        <v/>
      </c>
      <c r="N43" s="16">
        <f>D27+IF(8='Assumptions'!$B$25,IF(N$32&lt;=0,0,MAX(0,INDEX(D$7:D$17,MAX(1,MIN(11,'Assumptions'!$B$25+1))))/N$32*(1-'Assumptions'!$B$80))-'Debt'!$B$26,0)</f>
        <v/>
      </c>
      <c r="O43" s="16">
        <f>E27+IF(8='Assumptions'!$B$25,IF(O$32&lt;=0,0,MAX(0,INDEX(E$7:E$17,MAX(1,MIN(11,'Assumptions'!$B$25+1))))/O$32*(1-'Assumptions'!$B$80))-'Debt'!$B$26,0)</f>
        <v/>
      </c>
      <c r="P43" s="16">
        <f>F27+IF(8='Assumptions'!$B$25,IF(P$32&lt;=0,0,MAX(0,INDEX(F$7:F$17,MAX(1,MIN(11,'Assumptions'!$B$25+1))))/P$32*(1-'Assumptions'!$B$80))-'Debt'!$B$26,0)</f>
        <v/>
      </c>
      <c r="Q43" s="16">
        <f>B27+IF(8='Assumptions'!$B$25,IF(Q$32&lt;=0,0,MAX(0,INDEX(B$7:B$17,MAX(1,MIN(11,'Assumptions'!$B$25+1))))/Q$32*(1-'Assumptions'!$B$80))-'Debt'!$B$26,0)</f>
        <v/>
      </c>
      <c r="R43" s="16">
        <f>C27+IF(8='Assumptions'!$B$25,IF(R$32&lt;=0,0,MAX(0,INDEX(C$7:C$17,MAX(1,MIN(11,'Assumptions'!$B$25+1))))/R$32*(1-'Assumptions'!$B$80))-'Debt'!$B$26,0)</f>
        <v/>
      </c>
      <c r="S43" s="16">
        <f>D27+IF(8='Assumptions'!$B$25,IF(S$32&lt;=0,0,MAX(0,INDEX(D$7:D$17,MAX(1,MIN(11,'Assumptions'!$B$25+1))))/S$32*(1-'Assumptions'!$B$80))-'Debt'!$B$26,0)</f>
        <v/>
      </c>
      <c r="T43" s="16">
        <f>E27+IF(8='Assumptions'!$B$25,IF(T$32&lt;=0,0,MAX(0,INDEX(E$7:E$17,MAX(1,MIN(11,'Assumptions'!$B$25+1))))/T$32*(1-'Assumptions'!$B$80))-'Debt'!$B$26,0)</f>
        <v/>
      </c>
      <c r="U43" s="16">
        <f>F27+IF(8='Assumptions'!$B$25,IF(U$32&lt;=0,0,MAX(0,INDEX(F$7:F$17,MAX(1,MIN(11,'Assumptions'!$B$25+1))))/U$32*(1-'Assumptions'!$B$80))-'Debt'!$B$26,0)</f>
        <v/>
      </c>
      <c r="V43" s="16">
        <f>B27+IF(8='Assumptions'!$B$25,IF(V$32&lt;=0,0,MAX(0,INDEX(B$7:B$17,MAX(1,MIN(11,'Assumptions'!$B$25+1))))/V$32*(1-'Assumptions'!$B$80))-'Debt'!$B$26,0)</f>
        <v/>
      </c>
      <c r="W43" s="16">
        <f>C27+IF(8='Assumptions'!$B$25,IF(W$32&lt;=0,0,MAX(0,INDEX(C$7:C$17,MAX(1,MIN(11,'Assumptions'!$B$25+1))))/W$32*(1-'Assumptions'!$B$80))-'Debt'!$B$26,0)</f>
        <v/>
      </c>
      <c r="X43" s="16">
        <f>D27+IF(8='Assumptions'!$B$25,IF(X$32&lt;=0,0,MAX(0,INDEX(D$7:D$17,MAX(1,MIN(11,'Assumptions'!$B$25+1))))/X$32*(1-'Assumptions'!$B$80))-'Debt'!$B$26,0)</f>
        <v/>
      </c>
      <c r="Y43" s="16">
        <f>E27+IF(8='Assumptions'!$B$25,IF(Y$32&lt;=0,0,MAX(0,INDEX(E$7:E$17,MAX(1,MIN(11,'Assumptions'!$B$25+1))))/Y$32*(1-'Assumptions'!$B$80))-'Debt'!$B$26,0)</f>
        <v/>
      </c>
      <c r="Z43" s="16">
        <f>F27+IF(8='Assumptions'!$B$25,IF(Z$32&lt;=0,0,MAX(0,INDEX(F$7:F$17,MAX(1,MIN(11,'Assumptions'!$B$25+1))))/Z$32*(1-'Assumptions'!$B$80))-'Debt'!$B$26,0)</f>
        <v/>
      </c>
    </row>
    <row r="44">
      <c r="A44" s="4" t="inlineStr">
        <is>
          <t>Levered cash flow year 9</t>
        </is>
      </c>
      <c r="B44" s="16">
        <f>B28+IF(9='Assumptions'!$B$25,IF(B$32&lt;=0,0,MAX(0,INDEX(B$7:B$17,MAX(1,MIN(11,'Assumptions'!$B$25+1))))/B$32*(1-'Assumptions'!$B$80))-'Debt'!$B$26,0)</f>
        <v/>
      </c>
      <c r="C44" s="16">
        <f>C28+IF(9='Assumptions'!$B$25,IF(C$32&lt;=0,0,MAX(0,INDEX(C$7:C$17,MAX(1,MIN(11,'Assumptions'!$B$25+1))))/C$32*(1-'Assumptions'!$B$80))-'Debt'!$B$26,0)</f>
        <v/>
      </c>
      <c r="D44" s="16">
        <f>D28+IF(9='Assumptions'!$B$25,IF(D$32&lt;=0,0,MAX(0,INDEX(D$7:D$17,MAX(1,MIN(11,'Assumptions'!$B$25+1))))/D$32*(1-'Assumptions'!$B$80))-'Debt'!$B$26,0)</f>
        <v/>
      </c>
      <c r="E44" s="16">
        <f>E28+IF(9='Assumptions'!$B$25,IF(E$32&lt;=0,0,MAX(0,INDEX(E$7:E$17,MAX(1,MIN(11,'Assumptions'!$B$25+1))))/E$32*(1-'Assumptions'!$B$80))-'Debt'!$B$26,0)</f>
        <v/>
      </c>
      <c r="F44" s="16">
        <f>F28+IF(9='Assumptions'!$B$25,IF(F$32&lt;=0,0,MAX(0,INDEX(F$7:F$17,MAX(1,MIN(11,'Assumptions'!$B$25+1))))/F$32*(1-'Assumptions'!$B$80))-'Debt'!$B$26,0)</f>
        <v/>
      </c>
      <c r="G44" s="16">
        <f>B28+IF(9='Assumptions'!$B$25,IF(G$32&lt;=0,0,MAX(0,INDEX(B$7:B$17,MAX(1,MIN(11,'Assumptions'!$B$25+1))))/G$32*(1-'Assumptions'!$B$80))-'Debt'!$B$26,0)</f>
        <v/>
      </c>
      <c r="H44" s="16">
        <f>C28+IF(9='Assumptions'!$B$25,IF(H$32&lt;=0,0,MAX(0,INDEX(C$7:C$17,MAX(1,MIN(11,'Assumptions'!$B$25+1))))/H$32*(1-'Assumptions'!$B$80))-'Debt'!$B$26,0)</f>
        <v/>
      </c>
      <c r="I44" s="16">
        <f>D28+IF(9='Assumptions'!$B$25,IF(I$32&lt;=0,0,MAX(0,INDEX(D$7:D$17,MAX(1,MIN(11,'Assumptions'!$B$25+1))))/I$32*(1-'Assumptions'!$B$80))-'Debt'!$B$26,0)</f>
        <v/>
      </c>
      <c r="J44" s="16">
        <f>E28+IF(9='Assumptions'!$B$25,IF(J$32&lt;=0,0,MAX(0,INDEX(E$7:E$17,MAX(1,MIN(11,'Assumptions'!$B$25+1))))/J$32*(1-'Assumptions'!$B$80))-'Debt'!$B$26,0)</f>
        <v/>
      </c>
      <c r="K44" s="16">
        <f>F28+IF(9='Assumptions'!$B$25,IF(K$32&lt;=0,0,MAX(0,INDEX(F$7:F$17,MAX(1,MIN(11,'Assumptions'!$B$25+1))))/K$32*(1-'Assumptions'!$B$80))-'Debt'!$B$26,0)</f>
        <v/>
      </c>
      <c r="L44" s="16">
        <f>B28+IF(9='Assumptions'!$B$25,IF(L$32&lt;=0,0,MAX(0,INDEX(B$7:B$17,MAX(1,MIN(11,'Assumptions'!$B$25+1))))/L$32*(1-'Assumptions'!$B$80))-'Debt'!$B$26,0)</f>
        <v/>
      </c>
      <c r="M44" s="16">
        <f>C28+IF(9='Assumptions'!$B$25,IF(M$32&lt;=0,0,MAX(0,INDEX(C$7:C$17,MAX(1,MIN(11,'Assumptions'!$B$25+1))))/M$32*(1-'Assumptions'!$B$80))-'Debt'!$B$26,0)</f>
        <v/>
      </c>
      <c r="N44" s="16">
        <f>D28+IF(9='Assumptions'!$B$25,IF(N$32&lt;=0,0,MAX(0,INDEX(D$7:D$17,MAX(1,MIN(11,'Assumptions'!$B$25+1))))/N$32*(1-'Assumptions'!$B$80))-'Debt'!$B$26,0)</f>
        <v/>
      </c>
      <c r="O44" s="16">
        <f>E28+IF(9='Assumptions'!$B$25,IF(O$32&lt;=0,0,MAX(0,INDEX(E$7:E$17,MAX(1,MIN(11,'Assumptions'!$B$25+1))))/O$32*(1-'Assumptions'!$B$80))-'Debt'!$B$26,0)</f>
        <v/>
      </c>
      <c r="P44" s="16">
        <f>F28+IF(9='Assumptions'!$B$25,IF(P$32&lt;=0,0,MAX(0,INDEX(F$7:F$17,MAX(1,MIN(11,'Assumptions'!$B$25+1))))/P$32*(1-'Assumptions'!$B$80))-'Debt'!$B$26,0)</f>
        <v/>
      </c>
      <c r="Q44" s="16">
        <f>B28+IF(9='Assumptions'!$B$25,IF(Q$32&lt;=0,0,MAX(0,INDEX(B$7:B$17,MAX(1,MIN(11,'Assumptions'!$B$25+1))))/Q$32*(1-'Assumptions'!$B$80))-'Debt'!$B$26,0)</f>
        <v/>
      </c>
      <c r="R44" s="16">
        <f>C28+IF(9='Assumptions'!$B$25,IF(R$32&lt;=0,0,MAX(0,INDEX(C$7:C$17,MAX(1,MIN(11,'Assumptions'!$B$25+1))))/R$32*(1-'Assumptions'!$B$80))-'Debt'!$B$26,0)</f>
        <v/>
      </c>
      <c r="S44" s="16">
        <f>D28+IF(9='Assumptions'!$B$25,IF(S$32&lt;=0,0,MAX(0,INDEX(D$7:D$17,MAX(1,MIN(11,'Assumptions'!$B$25+1))))/S$32*(1-'Assumptions'!$B$80))-'Debt'!$B$26,0)</f>
        <v/>
      </c>
      <c r="T44" s="16">
        <f>E28+IF(9='Assumptions'!$B$25,IF(T$32&lt;=0,0,MAX(0,INDEX(E$7:E$17,MAX(1,MIN(11,'Assumptions'!$B$25+1))))/T$32*(1-'Assumptions'!$B$80))-'Debt'!$B$26,0)</f>
        <v/>
      </c>
      <c r="U44" s="16">
        <f>F28+IF(9='Assumptions'!$B$25,IF(U$32&lt;=0,0,MAX(0,INDEX(F$7:F$17,MAX(1,MIN(11,'Assumptions'!$B$25+1))))/U$32*(1-'Assumptions'!$B$80))-'Debt'!$B$26,0)</f>
        <v/>
      </c>
      <c r="V44" s="16">
        <f>B28+IF(9='Assumptions'!$B$25,IF(V$32&lt;=0,0,MAX(0,INDEX(B$7:B$17,MAX(1,MIN(11,'Assumptions'!$B$25+1))))/V$32*(1-'Assumptions'!$B$80))-'Debt'!$B$26,0)</f>
        <v/>
      </c>
      <c r="W44" s="16">
        <f>C28+IF(9='Assumptions'!$B$25,IF(W$32&lt;=0,0,MAX(0,INDEX(C$7:C$17,MAX(1,MIN(11,'Assumptions'!$B$25+1))))/W$32*(1-'Assumptions'!$B$80))-'Debt'!$B$26,0)</f>
        <v/>
      </c>
      <c r="X44" s="16">
        <f>D28+IF(9='Assumptions'!$B$25,IF(X$32&lt;=0,0,MAX(0,INDEX(D$7:D$17,MAX(1,MIN(11,'Assumptions'!$B$25+1))))/X$32*(1-'Assumptions'!$B$80))-'Debt'!$B$26,0)</f>
        <v/>
      </c>
      <c r="Y44" s="16">
        <f>E28+IF(9='Assumptions'!$B$25,IF(Y$32&lt;=0,0,MAX(0,INDEX(E$7:E$17,MAX(1,MIN(11,'Assumptions'!$B$25+1))))/Y$32*(1-'Assumptions'!$B$80))-'Debt'!$B$26,0)</f>
        <v/>
      </c>
      <c r="Z44" s="16">
        <f>F28+IF(9='Assumptions'!$B$25,IF(Z$32&lt;=0,0,MAX(0,INDEX(F$7:F$17,MAX(1,MIN(11,'Assumptions'!$B$25+1))))/Z$32*(1-'Assumptions'!$B$80))-'Debt'!$B$26,0)</f>
        <v/>
      </c>
    </row>
    <row r="45">
      <c r="A45" s="4" t="inlineStr">
        <is>
          <t>Levered cash flow year 10</t>
        </is>
      </c>
      <c r="B45" s="16">
        <f>B29+IF(10='Assumptions'!$B$25,IF(B$32&lt;=0,0,MAX(0,INDEX(B$7:B$17,MAX(1,MIN(11,'Assumptions'!$B$25+1))))/B$32*(1-'Assumptions'!$B$80))-'Debt'!$B$26,0)</f>
        <v/>
      </c>
      <c r="C45" s="16">
        <f>C29+IF(10='Assumptions'!$B$25,IF(C$32&lt;=0,0,MAX(0,INDEX(C$7:C$17,MAX(1,MIN(11,'Assumptions'!$B$25+1))))/C$32*(1-'Assumptions'!$B$80))-'Debt'!$B$26,0)</f>
        <v/>
      </c>
      <c r="D45" s="16">
        <f>D29+IF(10='Assumptions'!$B$25,IF(D$32&lt;=0,0,MAX(0,INDEX(D$7:D$17,MAX(1,MIN(11,'Assumptions'!$B$25+1))))/D$32*(1-'Assumptions'!$B$80))-'Debt'!$B$26,0)</f>
        <v/>
      </c>
      <c r="E45" s="16">
        <f>E29+IF(10='Assumptions'!$B$25,IF(E$32&lt;=0,0,MAX(0,INDEX(E$7:E$17,MAX(1,MIN(11,'Assumptions'!$B$25+1))))/E$32*(1-'Assumptions'!$B$80))-'Debt'!$B$26,0)</f>
        <v/>
      </c>
      <c r="F45" s="16">
        <f>F29+IF(10='Assumptions'!$B$25,IF(F$32&lt;=0,0,MAX(0,INDEX(F$7:F$17,MAX(1,MIN(11,'Assumptions'!$B$25+1))))/F$32*(1-'Assumptions'!$B$80))-'Debt'!$B$26,0)</f>
        <v/>
      </c>
      <c r="G45" s="16">
        <f>B29+IF(10='Assumptions'!$B$25,IF(G$32&lt;=0,0,MAX(0,INDEX(B$7:B$17,MAX(1,MIN(11,'Assumptions'!$B$25+1))))/G$32*(1-'Assumptions'!$B$80))-'Debt'!$B$26,0)</f>
        <v/>
      </c>
      <c r="H45" s="16">
        <f>C29+IF(10='Assumptions'!$B$25,IF(H$32&lt;=0,0,MAX(0,INDEX(C$7:C$17,MAX(1,MIN(11,'Assumptions'!$B$25+1))))/H$32*(1-'Assumptions'!$B$80))-'Debt'!$B$26,0)</f>
        <v/>
      </c>
      <c r="I45" s="16">
        <f>D29+IF(10='Assumptions'!$B$25,IF(I$32&lt;=0,0,MAX(0,INDEX(D$7:D$17,MAX(1,MIN(11,'Assumptions'!$B$25+1))))/I$32*(1-'Assumptions'!$B$80))-'Debt'!$B$26,0)</f>
        <v/>
      </c>
      <c r="J45" s="16">
        <f>E29+IF(10='Assumptions'!$B$25,IF(J$32&lt;=0,0,MAX(0,INDEX(E$7:E$17,MAX(1,MIN(11,'Assumptions'!$B$25+1))))/J$32*(1-'Assumptions'!$B$80))-'Debt'!$B$26,0)</f>
        <v/>
      </c>
      <c r="K45" s="16">
        <f>F29+IF(10='Assumptions'!$B$25,IF(K$32&lt;=0,0,MAX(0,INDEX(F$7:F$17,MAX(1,MIN(11,'Assumptions'!$B$25+1))))/K$32*(1-'Assumptions'!$B$80))-'Debt'!$B$26,0)</f>
        <v/>
      </c>
      <c r="L45" s="16">
        <f>B29+IF(10='Assumptions'!$B$25,IF(L$32&lt;=0,0,MAX(0,INDEX(B$7:B$17,MAX(1,MIN(11,'Assumptions'!$B$25+1))))/L$32*(1-'Assumptions'!$B$80))-'Debt'!$B$26,0)</f>
        <v/>
      </c>
      <c r="M45" s="16">
        <f>C29+IF(10='Assumptions'!$B$25,IF(M$32&lt;=0,0,MAX(0,INDEX(C$7:C$17,MAX(1,MIN(11,'Assumptions'!$B$25+1))))/M$32*(1-'Assumptions'!$B$80))-'Debt'!$B$26,0)</f>
        <v/>
      </c>
      <c r="N45" s="16">
        <f>D29+IF(10='Assumptions'!$B$25,IF(N$32&lt;=0,0,MAX(0,INDEX(D$7:D$17,MAX(1,MIN(11,'Assumptions'!$B$25+1))))/N$32*(1-'Assumptions'!$B$80))-'Debt'!$B$26,0)</f>
        <v/>
      </c>
      <c r="O45" s="16">
        <f>E29+IF(10='Assumptions'!$B$25,IF(O$32&lt;=0,0,MAX(0,INDEX(E$7:E$17,MAX(1,MIN(11,'Assumptions'!$B$25+1))))/O$32*(1-'Assumptions'!$B$80))-'Debt'!$B$26,0)</f>
        <v/>
      </c>
      <c r="P45" s="16">
        <f>F29+IF(10='Assumptions'!$B$25,IF(P$32&lt;=0,0,MAX(0,INDEX(F$7:F$17,MAX(1,MIN(11,'Assumptions'!$B$25+1))))/P$32*(1-'Assumptions'!$B$80))-'Debt'!$B$26,0)</f>
        <v/>
      </c>
      <c r="Q45" s="16">
        <f>B29+IF(10='Assumptions'!$B$25,IF(Q$32&lt;=0,0,MAX(0,INDEX(B$7:B$17,MAX(1,MIN(11,'Assumptions'!$B$25+1))))/Q$32*(1-'Assumptions'!$B$80))-'Debt'!$B$26,0)</f>
        <v/>
      </c>
      <c r="R45" s="16">
        <f>C29+IF(10='Assumptions'!$B$25,IF(R$32&lt;=0,0,MAX(0,INDEX(C$7:C$17,MAX(1,MIN(11,'Assumptions'!$B$25+1))))/R$32*(1-'Assumptions'!$B$80))-'Debt'!$B$26,0)</f>
        <v/>
      </c>
      <c r="S45" s="16">
        <f>D29+IF(10='Assumptions'!$B$25,IF(S$32&lt;=0,0,MAX(0,INDEX(D$7:D$17,MAX(1,MIN(11,'Assumptions'!$B$25+1))))/S$32*(1-'Assumptions'!$B$80))-'Debt'!$B$26,0)</f>
        <v/>
      </c>
      <c r="T45" s="16">
        <f>E29+IF(10='Assumptions'!$B$25,IF(T$32&lt;=0,0,MAX(0,INDEX(E$7:E$17,MAX(1,MIN(11,'Assumptions'!$B$25+1))))/T$32*(1-'Assumptions'!$B$80))-'Debt'!$B$26,0)</f>
        <v/>
      </c>
      <c r="U45" s="16">
        <f>F29+IF(10='Assumptions'!$B$25,IF(U$32&lt;=0,0,MAX(0,INDEX(F$7:F$17,MAX(1,MIN(11,'Assumptions'!$B$25+1))))/U$32*(1-'Assumptions'!$B$80))-'Debt'!$B$26,0)</f>
        <v/>
      </c>
      <c r="V45" s="16">
        <f>B29+IF(10='Assumptions'!$B$25,IF(V$32&lt;=0,0,MAX(0,INDEX(B$7:B$17,MAX(1,MIN(11,'Assumptions'!$B$25+1))))/V$32*(1-'Assumptions'!$B$80))-'Debt'!$B$26,0)</f>
        <v/>
      </c>
      <c r="W45" s="16">
        <f>C29+IF(10='Assumptions'!$B$25,IF(W$32&lt;=0,0,MAX(0,INDEX(C$7:C$17,MAX(1,MIN(11,'Assumptions'!$B$25+1))))/W$32*(1-'Assumptions'!$B$80))-'Debt'!$B$26,0)</f>
        <v/>
      </c>
      <c r="X45" s="16">
        <f>D29+IF(10='Assumptions'!$B$25,IF(X$32&lt;=0,0,MAX(0,INDEX(D$7:D$17,MAX(1,MIN(11,'Assumptions'!$B$25+1))))/X$32*(1-'Assumptions'!$B$80))-'Debt'!$B$26,0)</f>
        <v/>
      </c>
      <c r="Y45" s="16">
        <f>E29+IF(10='Assumptions'!$B$25,IF(Y$32&lt;=0,0,MAX(0,INDEX(E$7:E$17,MAX(1,MIN(11,'Assumptions'!$B$25+1))))/Y$32*(1-'Assumptions'!$B$80))-'Debt'!$B$26,0)</f>
        <v/>
      </c>
      <c r="Z45" s="16">
        <f>F29+IF(10='Assumptions'!$B$25,IF(Z$32&lt;=0,0,MAX(0,INDEX(F$7:F$17,MAX(1,MIN(11,'Assumptions'!$B$25+1))))/Z$32*(1-'Assumptions'!$B$80))-'Debt'!$B$26,0)</f>
        <v/>
      </c>
    </row>
    <row r="47">
      <c r="A47" s="10" t="inlineStr">
        <is>
          <t>Levered IRR</t>
        </is>
      </c>
      <c r="B47" s="66">
        <f>IFERROR(IRR(B35:B45),0)</f>
        <v/>
      </c>
      <c r="C47" s="66">
        <f>IFERROR(IRR(C35:C45),0)</f>
        <v/>
      </c>
      <c r="D47" s="66">
        <f>IFERROR(IRR(D35:D45),0)</f>
        <v/>
      </c>
      <c r="E47" s="66">
        <f>IFERROR(IRR(E35:E45),0)</f>
        <v/>
      </c>
      <c r="F47" s="66">
        <f>IFERROR(IRR(F35:F45),0)</f>
        <v/>
      </c>
      <c r="G47" s="66">
        <f>IFERROR(IRR(G35:G45),0)</f>
        <v/>
      </c>
      <c r="H47" s="66">
        <f>IFERROR(IRR(H35:H45),0)</f>
        <v/>
      </c>
      <c r="I47" s="66">
        <f>IFERROR(IRR(I35:I45),0)</f>
        <v/>
      </c>
      <c r="J47" s="66">
        <f>IFERROR(IRR(J35:J45),0)</f>
        <v/>
      </c>
      <c r="K47" s="66">
        <f>IFERROR(IRR(K35:K45),0)</f>
        <v/>
      </c>
      <c r="L47" s="66">
        <f>IFERROR(IRR(L35:L45),0)</f>
        <v/>
      </c>
      <c r="M47" s="66">
        <f>IFERROR(IRR(M35:M45),0)</f>
        <v/>
      </c>
      <c r="N47" s="66">
        <f>IFERROR(IRR(N35:N45),0)</f>
        <v/>
      </c>
      <c r="O47" s="66">
        <f>IFERROR(IRR(O35:O45),0)</f>
        <v/>
      </c>
      <c r="P47" s="66">
        <f>IFERROR(IRR(P35:P45),0)</f>
        <v/>
      </c>
      <c r="Q47" s="66">
        <f>IFERROR(IRR(Q35:Q45),0)</f>
        <v/>
      </c>
      <c r="R47" s="66">
        <f>IFERROR(IRR(R35:R45),0)</f>
        <v/>
      </c>
      <c r="S47" s="66">
        <f>IFERROR(IRR(S35:S45),0)</f>
        <v/>
      </c>
      <c r="T47" s="66">
        <f>IFERROR(IRR(T35:T45),0)</f>
        <v/>
      </c>
      <c r="U47" s="66">
        <f>IFERROR(IRR(U35:U45),0)</f>
        <v/>
      </c>
      <c r="V47" s="66">
        <f>IFERROR(IRR(V35:V45),0)</f>
        <v/>
      </c>
      <c r="W47" s="66">
        <f>IFERROR(IRR(W35:W45),0)</f>
        <v/>
      </c>
      <c r="X47" s="66">
        <f>IFERROR(IRR(X35:X45),0)</f>
        <v/>
      </c>
      <c r="Y47" s="66">
        <f>IFERROR(IRR(Y35:Y45),0)</f>
        <v/>
      </c>
      <c r="Z47" s="66">
        <f>IFERROR(IRR(Z35:Z45),0)</f>
        <v/>
      </c>
    </row>
    <row r="48">
      <c r="A48" s="10" t="inlineStr">
        <is>
          <t>Levered equity multiple</t>
        </is>
      </c>
      <c r="B48" s="68">
        <f>IF(SUMIF(B35:B45,"&lt;0")=0,0,SUMIF(B35:B45,"&gt;0")/-SUMIF(B35:B45,"&lt;0"))</f>
        <v/>
      </c>
      <c r="C48" s="68">
        <f>IF(SUMIF(C35:C45,"&lt;0")=0,0,SUMIF(C35:C45,"&gt;0")/-SUMIF(C35:C45,"&lt;0"))</f>
        <v/>
      </c>
      <c r="D48" s="68">
        <f>IF(SUMIF(D35:D45,"&lt;0")=0,0,SUMIF(D35:D45,"&gt;0")/-SUMIF(D35:D45,"&lt;0"))</f>
        <v/>
      </c>
      <c r="E48" s="68">
        <f>IF(SUMIF(E35:E45,"&lt;0")=0,0,SUMIF(E35:E45,"&gt;0")/-SUMIF(E35:E45,"&lt;0"))</f>
        <v/>
      </c>
      <c r="F48" s="68">
        <f>IF(SUMIF(F35:F45,"&lt;0")=0,0,SUMIF(F35:F45,"&gt;0")/-SUMIF(F35:F45,"&lt;0"))</f>
        <v/>
      </c>
      <c r="G48" s="68">
        <f>IF(SUMIF(G35:G45,"&lt;0")=0,0,SUMIF(G35:G45,"&gt;0")/-SUMIF(G35:G45,"&lt;0"))</f>
        <v/>
      </c>
      <c r="H48" s="68">
        <f>IF(SUMIF(H35:H45,"&lt;0")=0,0,SUMIF(H35:H45,"&gt;0")/-SUMIF(H35:H45,"&lt;0"))</f>
        <v/>
      </c>
      <c r="I48" s="68">
        <f>IF(SUMIF(I35:I45,"&lt;0")=0,0,SUMIF(I35:I45,"&gt;0")/-SUMIF(I35:I45,"&lt;0"))</f>
        <v/>
      </c>
      <c r="J48" s="68">
        <f>IF(SUMIF(J35:J45,"&lt;0")=0,0,SUMIF(J35:J45,"&gt;0")/-SUMIF(J35:J45,"&lt;0"))</f>
        <v/>
      </c>
      <c r="K48" s="68">
        <f>IF(SUMIF(K35:K45,"&lt;0")=0,0,SUMIF(K35:K45,"&gt;0")/-SUMIF(K35:K45,"&lt;0"))</f>
        <v/>
      </c>
      <c r="L48" s="68">
        <f>IF(SUMIF(L35:L45,"&lt;0")=0,0,SUMIF(L35:L45,"&gt;0")/-SUMIF(L35:L45,"&lt;0"))</f>
        <v/>
      </c>
      <c r="M48" s="68">
        <f>IF(SUMIF(M35:M45,"&lt;0")=0,0,SUMIF(M35:M45,"&gt;0")/-SUMIF(M35:M45,"&lt;0"))</f>
        <v/>
      </c>
      <c r="N48" s="68">
        <f>IF(SUMIF(N35:N45,"&lt;0")=0,0,SUMIF(N35:N45,"&gt;0")/-SUMIF(N35:N45,"&lt;0"))</f>
        <v/>
      </c>
      <c r="O48" s="68">
        <f>IF(SUMIF(O35:O45,"&lt;0")=0,0,SUMIF(O35:O45,"&gt;0")/-SUMIF(O35:O45,"&lt;0"))</f>
        <v/>
      </c>
      <c r="P48" s="68">
        <f>IF(SUMIF(P35:P45,"&lt;0")=0,0,SUMIF(P35:P45,"&gt;0")/-SUMIF(P35:P45,"&lt;0"))</f>
        <v/>
      </c>
      <c r="Q48" s="68">
        <f>IF(SUMIF(Q35:Q45,"&lt;0")=0,0,SUMIF(Q35:Q45,"&gt;0")/-SUMIF(Q35:Q45,"&lt;0"))</f>
        <v/>
      </c>
      <c r="R48" s="68">
        <f>IF(SUMIF(R35:R45,"&lt;0")=0,0,SUMIF(R35:R45,"&gt;0")/-SUMIF(R35:R45,"&lt;0"))</f>
        <v/>
      </c>
      <c r="S48" s="68">
        <f>IF(SUMIF(S35:S45,"&lt;0")=0,0,SUMIF(S35:S45,"&gt;0")/-SUMIF(S35:S45,"&lt;0"))</f>
        <v/>
      </c>
      <c r="T48" s="68">
        <f>IF(SUMIF(T35:T45,"&lt;0")=0,0,SUMIF(T35:T45,"&gt;0")/-SUMIF(T35:T45,"&lt;0"))</f>
        <v/>
      </c>
      <c r="U48" s="68">
        <f>IF(SUMIF(U35:U45,"&lt;0")=0,0,SUMIF(U35:U45,"&gt;0")/-SUMIF(U35:U45,"&lt;0"))</f>
        <v/>
      </c>
      <c r="V48" s="68">
        <f>IF(SUMIF(V35:V45,"&lt;0")=0,0,SUMIF(V35:V45,"&gt;0")/-SUMIF(V35:V45,"&lt;0"))</f>
        <v/>
      </c>
      <c r="W48" s="68">
        <f>IF(SUMIF(W35:W45,"&lt;0")=0,0,SUMIF(W35:W45,"&gt;0")/-SUMIF(W35:W45,"&lt;0"))</f>
        <v/>
      </c>
      <c r="X48" s="68">
        <f>IF(SUMIF(X35:X45,"&lt;0")=0,0,SUMIF(X35:X45,"&gt;0")/-SUMIF(X35:X45,"&lt;0"))</f>
        <v/>
      </c>
      <c r="Y48" s="68">
        <f>IF(SUMIF(Y35:Y45,"&lt;0")=0,0,SUMIF(Y35:Y45,"&gt;0")/-SUMIF(Y35:Y45,"&lt;0"))</f>
        <v/>
      </c>
      <c r="Z48" s="68">
        <f>IF(SUMIF(Z35:Z45,"&lt;0")=0,0,SUMIF(Z35:Z45,"&gt;0")/-SUMIF(Z35:Z45,"&lt;0"))</f>
        <v/>
      </c>
    </row>
    <row r="51">
      <c r="A51" s="79" t="inlineStr">
        <is>
          <t>BLOCK 2: purchase price scenarios</t>
        </is>
      </c>
    </row>
    <row r="52">
      <c r="A52" s="10" t="inlineStr">
        <is>
          <t>Purchase price</t>
        </is>
      </c>
      <c r="B52" s="16">
        <f>'Assumptions'!$B$15*(1+(-2)*'Assumptions'!$B$91)</f>
        <v/>
      </c>
      <c r="C52" s="16">
        <f>'Assumptions'!$B$15*(1+(-1)*'Assumptions'!$B$91)</f>
        <v/>
      </c>
      <c r="D52" s="16">
        <f>'Assumptions'!$B$15*(1+(0)*'Assumptions'!$B$91)</f>
        <v/>
      </c>
      <c r="E52" s="16">
        <f>'Assumptions'!$B$15*(1+(1)*'Assumptions'!$B$91)</f>
        <v/>
      </c>
      <c r="F52" s="16">
        <f>'Assumptions'!$B$15*(1+(2)*'Assumptions'!$B$91)</f>
        <v/>
      </c>
    </row>
    <row r="53">
      <c r="A53" s="10" t="inlineStr">
        <is>
          <t>Loan amount</t>
        </is>
      </c>
      <c r="B53" s="16">
        <f>IF(MIN(IF('Assumptions'!$B$74=1,'Assumptions'!$B$70*B52,1000000000000),'Debt'!$B$15,'Debt'!$B$16)&gt;=1000000000000,0,MAX(0,MIN(IF('Assumptions'!$B$74=1,'Assumptions'!$B$70*B52,1000000000000),'Debt'!$B$15,'Debt'!$B$16)))</f>
        <v/>
      </c>
      <c r="C53" s="16">
        <f>IF(MIN(IF('Assumptions'!$B$74=1,'Assumptions'!$B$70*C52,1000000000000),'Debt'!$B$15,'Debt'!$B$16)&gt;=1000000000000,0,MAX(0,MIN(IF('Assumptions'!$B$74=1,'Assumptions'!$B$70*C52,1000000000000),'Debt'!$B$15,'Debt'!$B$16)))</f>
        <v/>
      </c>
      <c r="D53" s="16">
        <f>IF(MIN(IF('Assumptions'!$B$74=1,'Assumptions'!$B$70*D52,1000000000000),'Debt'!$B$15,'Debt'!$B$16)&gt;=1000000000000,0,MAX(0,MIN(IF('Assumptions'!$B$74=1,'Assumptions'!$B$70*D52,1000000000000),'Debt'!$B$15,'Debt'!$B$16)))</f>
        <v/>
      </c>
      <c r="E53" s="16">
        <f>IF(MIN(IF('Assumptions'!$B$74=1,'Assumptions'!$B$70*E52,1000000000000),'Debt'!$B$15,'Debt'!$B$16)&gt;=1000000000000,0,MAX(0,MIN(IF('Assumptions'!$B$74=1,'Assumptions'!$B$70*E52,1000000000000),'Debt'!$B$15,'Debt'!$B$16)))</f>
        <v/>
      </c>
      <c r="F53" s="16">
        <f>IF(MIN(IF('Assumptions'!$B$74=1,'Assumptions'!$B$70*F52,1000000000000),'Debt'!$B$15,'Debt'!$B$16)&gt;=1000000000000,0,MAX(0,MIN(IF('Assumptions'!$B$74=1,'Assumptions'!$B$70*F52,1000000000000),'Debt'!$B$15,'Debt'!$B$16)))</f>
        <v/>
      </c>
    </row>
    <row r="54">
      <c r="A54" s="10" t="inlineStr">
        <is>
          <t>Origination fee</t>
        </is>
      </c>
      <c r="B54" s="16">
        <f>B53*'Assumptions'!$B$69</f>
        <v/>
      </c>
      <c r="C54" s="16">
        <f>C53*'Assumptions'!$B$69</f>
        <v/>
      </c>
      <c r="D54" s="16">
        <f>D53*'Assumptions'!$B$69</f>
        <v/>
      </c>
      <c r="E54" s="16">
        <f>E53*'Assumptions'!$B$69</f>
        <v/>
      </c>
      <c r="F54" s="16">
        <f>F53*'Assumptions'!$B$69</f>
        <v/>
      </c>
    </row>
    <row r="55">
      <c r="A55" s="10" t="inlineStr">
        <is>
          <t>Total uses</t>
        </is>
      </c>
      <c r="B55" s="16">
        <f>B52*(1+'Assumptions'!$B$18+'Assumptions'!$B$22)+'Assumptions'!$B$19+'Assumptions'!$B$20+'Assumptions'!$B$59*'Assumptions'!$B$61+'Assumptions'!$B$21+B54</f>
        <v/>
      </c>
      <c r="C55" s="16">
        <f>C52*(1+'Assumptions'!$B$18+'Assumptions'!$B$22)+'Assumptions'!$B$19+'Assumptions'!$B$20+'Assumptions'!$B$59*'Assumptions'!$B$61+'Assumptions'!$B$21+C54</f>
        <v/>
      </c>
      <c r="D55" s="16">
        <f>D52*(1+'Assumptions'!$B$18+'Assumptions'!$B$22)+'Assumptions'!$B$19+'Assumptions'!$B$20+'Assumptions'!$B$59*'Assumptions'!$B$61+'Assumptions'!$B$21+D54</f>
        <v/>
      </c>
      <c r="E55" s="16">
        <f>E52*(1+'Assumptions'!$B$18+'Assumptions'!$B$22)+'Assumptions'!$B$19+'Assumptions'!$B$20+'Assumptions'!$B$59*'Assumptions'!$B$61+'Assumptions'!$B$21+E54</f>
        <v/>
      </c>
      <c r="F55" s="16">
        <f>F52*(1+'Assumptions'!$B$18+'Assumptions'!$B$22)+'Assumptions'!$B$19+'Assumptions'!$B$20+'Assumptions'!$B$59*'Assumptions'!$B$61+'Assumptions'!$B$21+F54</f>
        <v/>
      </c>
    </row>
    <row r="56">
      <c r="A56" s="10" t="inlineStr">
        <is>
          <t>Sponsor equity</t>
        </is>
      </c>
      <c r="B56" s="16">
        <f>B55-B53</f>
        <v/>
      </c>
      <c r="C56" s="16">
        <f>C55-C53</f>
        <v/>
      </c>
      <c r="D56" s="16">
        <f>D55-D53</f>
        <v/>
      </c>
      <c r="E56" s="16">
        <f>E55-E53</f>
        <v/>
      </c>
      <c r="F56" s="16">
        <f>F55-F53</f>
        <v/>
      </c>
    </row>
    <row r="57">
      <c r="A57" s="10" t="inlineStr">
        <is>
          <t>Loan scale factor</t>
        </is>
      </c>
      <c r="B57" s="85">
        <f>IF('Debt'!$B$17=0,0,B53/'Debt'!$B$17)</f>
        <v/>
      </c>
      <c r="C57" s="85">
        <f>IF('Debt'!$B$17=0,0,C53/'Debt'!$B$17)</f>
        <v/>
      </c>
      <c r="D57" s="85">
        <f>IF('Debt'!$B$17=0,0,D53/'Debt'!$B$17)</f>
        <v/>
      </c>
      <c r="E57" s="85">
        <f>IF('Debt'!$B$17=0,0,E53/'Debt'!$B$17)</f>
        <v/>
      </c>
      <c r="F57" s="85">
        <f>IF('Debt'!$B$17=0,0,F53/'Debt'!$B$17)</f>
        <v/>
      </c>
    </row>
    <row r="58">
      <c r="A58" s="10" t="inlineStr">
        <is>
          <t>Balloon at exit</t>
        </is>
      </c>
      <c r="B58" s="16">
        <f>'Debt'!$B$26*B57</f>
        <v/>
      </c>
      <c r="C58" s="16">
        <f>'Debt'!$B$26*C57</f>
        <v/>
      </c>
      <c r="D58" s="16">
        <f>'Debt'!$B$26*D57</f>
        <v/>
      </c>
      <c r="E58" s="16">
        <f>'Debt'!$B$26*E57</f>
        <v/>
      </c>
      <c r="F58" s="16">
        <f>'Debt'!$B$26*F57</f>
        <v/>
      </c>
    </row>
    <row r="60">
      <c r="A60" s="4" t="inlineStr">
        <is>
          <t>Levered operating cash flow by year</t>
        </is>
      </c>
    </row>
    <row r="61">
      <c r="A61" s="10" t="inlineStr">
        <is>
          <t>Levered operating year 1</t>
        </is>
      </c>
      <c r="B61" s="16">
        <f>IF(1&lt;='Assumptions'!$B$25,'Pro Forma'!B$56+'Pro Forma'!B$59*B$57,0)</f>
        <v/>
      </c>
      <c r="C61" s="16">
        <f>IF(1&lt;='Assumptions'!$B$25,'Pro Forma'!B$56+'Pro Forma'!B$59*C$57,0)</f>
        <v/>
      </c>
      <c r="D61" s="16">
        <f>IF(1&lt;='Assumptions'!$B$25,'Pro Forma'!B$56+'Pro Forma'!B$59*D$57,0)</f>
        <v/>
      </c>
      <c r="E61" s="16">
        <f>IF(1&lt;='Assumptions'!$B$25,'Pro Forma'!B$56+'Pro Forma'!B$59*E$57,0)</f>
        <v/>
      </c>
      <c r="F61" s="16">
        <f>IF(1&lt;='Assumptions'!$B$25,'Pro Forma'!B$56+'Pro Forma'!B$59*F$57,0)</f>
        <v/>
      </c>
    </row>
    <row r="62">
      <c r="A62" s="10" t="inlineStr">
        <is>
          <t>Levered operating year 2</t>
        </is>
      </c>
      <c r="B62" s="16">
        <f>IF(2&lt;='Assumptions'!$B$25,'Pro Forma'!C$56+'Pro Forma'!C$59*B$57,0)</f>
        <v/>
      </c>
      <c r="C62" s="16">
        <f>IF(2&lt;='Assumptions'!$B$25,'Pro Forma'!C$56+'Pro Forma'!C$59*C$57,0)</f>
        <v/>
      </c>
      <c r="D62" s="16">
        <f>IF(2&lt;='Assumptions'!$B$25,'Pro Forma'!C$56+'Pro Forma'!C$59*D$57,0)</f>
        <v/>
      </c>
      <c r="E62" s="16">
        <f>IF(2&lt;='Assumptions'!$B$25,'Pro Forma'!C$56+'Pro Forma'!C$59*E$57,0)</f>
        <v/>
      </c>
      <c r="F62" s="16">
        <f>IF(2&lt;='Assumptions'!$B$25,'Pro Forma'!C$56+'Pro Forma'!C$59*F$57,0)</f>
        <v/>
      </c>
    </row>
    <row r="63">
      <c r="A63" s="10" t="inlineStr">
        <is>
          <t>Levered operating year 3</t>
        </is>
      </c>
      <c r="B63" s="16">
        <f>IF(3&lt;='Assumptions'!$B$25,'Pro Forma'!D$56+'Pro Forma'!D$59*B$57,0)</f>
        <v/>
      </c>
      <c r="C63" s="16">
        <f>IF(3&lt;='Assumptions'!$B$25,'Pro Forma'!D$56+'Pro Forma'!D$59*C$57,0)</f>
        <v/>
      </c>
      <c r="D63" s="16">
        <f>IF(3&lt;='Assumptions'!$B$25,'Pro Forma'!D$56+'Pro Forma'!D$59*D$57,0)</f>
        <v/>
      </c>
      <c r="E63" s="16">
        <f>IF(3&lt;='Assumptions'!$B$25,'Pro Forma'!D$56+'Pro Forma'!D$59*E$57,0)</f>
        <v/>
      </c>
      <c r="F63" s="16">
        <f>IF(3&lt;='Assumptions'!$B$25,'Pro Forma'!D$56+'Pro Forma'!D$59*F$57,0)</f>
        <v/>
      </c>
    </row>
    <row r="64">
      <c r="A64" s="10" t="inlineStr">
        <is>
          <t>Levered operating year 4</t>
        </is>
      </c>
      <c r="B64" s="16">
        <f>IF(4&lt;='Assumptions'!$B$25,'Pro Forma'!E$56+'Pro Forma'!E$59*B$57,0)</f>
        <v/>
      </c>
      <c r="C64" s="16">
        <f>IF(4&lt;='Assumptions'!$B$25,'Pro Forma'!E$56+'Pro Forma'!E$59*C$57,0)</f>
        <v/>
      </c>
      <c r="D64" s="16">
        <f>IF(4&lt;='Assumptions'!$B$25,'Pro Forma'!E$56+'Pro Forma'!E$59*D$57,0)</f>
        <v/>
      </c>
      <c r="E64" s="16">
        <f>IF(4&lt;='Assumptions'!$B$25,'Pro Forma'!E$56+'Pro Forma'!E$59*E$57,0)</f>
        <v/>
      </c>
      <c r="F64" s="16">
        <f>IF(4&lt;='Assumptions'!$B$25,'Pro Forma'!E$56+'Pro Forma'!E$59*F$57,0)</f>
        <v/>
      </c>
    </row>
    <row r="65">
      <c r="A65" s="10" t="inlineStr">
        <is>
          <t>Levered operating year 5</t>
        </is>
      </c>
      <c r="B65" s="16">
        <f>IF(5&lt;='Assumptions'!$B$25,'Pro Forma'!F$56+'Pro Forma'!F$59*B$57,0)</f>
        <v/>
      </c>
      <c r="C65" s="16">
        <f>IF(5&lt;='Assumptions'!$B$25,'Pro Forma'!F$56+'Pro Forma'!F$59*C$57,0)</f>
        <v/>
      </c>
      <c r="D65" s="16">
        <f>IF(5&lt;='Assumptions'!$B$25,'Pro Forma'!F$56+'Pro Forma'!F$59*D$57,0)</f>
        <v/>
      </c>
      <c r="E65" s="16">
        <f>IF(5&lt;='Assumptions'!$B$25,'Pro Forma'!F$56+'Pro Forma'!F$59*E$57,0)</f>
        <v/>
      </c>
      <c r="F65" s="16">
        <f>IF(5&lt;='Assumptions'!$B$25,'Pro Forma'!F$56+'Pro Forma'!F$59*F$57,0)</f>
        <v/>
      </c>
    </row>
    <row r="66">
      <c r="A66" s="10" t="inlineStr">
        <is>
          <t>Levered operating year 6</t>
        </is>
      </c>
      <c r="B66" s="16">
        <f>IF(6&lt;='Assumptions'!$B$25,'Pro Forma'!G$56+'Pro Forma'!G$59*B$57,0)</f>
        <v/>
      </c>
      <c r="C66" s="16">
        <f>IF(6&lt;='Assumptions'!$B$25,'Pro Forma'!G$56+'Pro Forma'!G$59*C$57,0)</f>
        <v/>
      </c>
      <c r="D66" s="16">
        <f>IF(6&lt;='Assumptions'!$B$25,'Pro Forma'!G$56+'Pro Forma'!G$59*D$57,0)</f>
        <v/>
      </c>
      <c r="E66" s="16">
        <f>IF(6&lt;='Assumptions'!$B$25,'Pro Forma'!G$56+'Pro Forma'!G$59*E$57,0)</f>
        <v/>
      </c>
      <c r="F66" s="16">
        <f>IF(6&lt;='Assumptions'!$B$25,'Pro Forma'!G$56+'Pro Forma'!G$59*F$57,0)</f>
        <v/>
      </c>
    </row>
    <row r="67">
      <c r="A67" s="10" t="inlineStr">
        <is>
          <t>Levered operating year 7</t>
        </is>
      </c>
      <c r="B67" s="16">
        <f>IF(7&lt;='Assumptions'!$B$25,'Pro Forma'!H$56+'Pro Forma'!H$59*B$57,0)</f>
        <v/>
      </c>
      <c r="C67" s="16">
        <f>IF(7&lt;='Assumptions'!$B$25,'Pro Forma'!H$56+'Pro Forma'!H$59*C$57,0)</f>
        <v/>
      </c>
      <c r="D67" s="16">
        <f>IF(7&lt;='Assumptions'!$B$25,'Pro Forma'!H$56+'Pro Forma'!H$59*D$57,0)</f>
        <v/>
      </c>
      <c r="E67" s="16">
        <f>IF(7&lt;='Assumptions'!$B$25,'Pro Forma'!H$56+'Pro Forma'!H$59*E$57,0)</f>
        <v/>
      </c>
      <c r="F67" s="16">
        <f>IF(7&lt;='Assumptions'!$B$25,'Pro Forma'!H$56+'Pro Forma'!H$59*F$57,0)</f>
        <v/>
      </c>
    </row>
    <row r="68">
      <c r="A68" s="10" t="inlineStr">
        <is>
          <t>Levered operating year 8</t>
        </is>
      </c>
      <c r="B68" s="16">
        <f>IF(8&lt;='Assumptions'!$B$25,'Pro Forma'!I$56+'Pro Forma'!I$59*B$57,0)</f>
        <v/>
      </c>
      <c r="C68" s="16">
        <f>IF(8&lt;='Assumptions'!$B$25,'Pro Forma'!I$56+'Pro Forma'!I$59*C$57,0)</f>
        <v/>
      </c>
      <c r="D68" s="16">
        <f>IF(8&lt;='Assumptions'!$B$25,'Pro Forma'!I$56+'Pro Forma'!I$59*D$57,0)</f>
        <v/>
      </c>
      <c r="E68" s="16">
        <f>IF(8&lt;='Assumptions'!$B$25,'Pro Forma'!I$56+'Pro Forma'!I$59*E$57,0)</f>
        <v/>
      </c>
      <c r="F68" s="16">
        <f>IF(8&lt;='Assumptions'!$B$25,'Pro Forma'!I$56+'Pro Forma'!I$59*F$57,0)</f>
        <v/>
      </c>
    </row>
    <row r="69">
      <c r="A69" s="10" t="inlineStr">
        <is>
          <t>Levered operating year 9</t>
        </is>
      </c>
      <c r="B69" s="16">
        <f>IF(9&lt;='Assumptions'!$B$25,'Pro Forma'!J$56+'Pro Forma'!J$59*B$57,0)</f>
        <v/>
      </c>
      <c r="C69" s="16">
        <f>IF(9&lt;='Assumptions'!$B$25,'Pro Forma'!J$56+'Pro Forma'!J$59*C$57,0)</f>
        <v/>
      </c>
      <c r="D69" s="16">
        <f>IF(9&lt;='Assumptions'!$B$25,'Pro Forma'!J$56+'Pro Forma'!J$59*D$57,0)</f>
        <v/>
      </c>
      <c r="E69" s="16">
        <f>IF(9&lt;='Assumptions'!$B$25,'Pro Forma'!J$56+'Pro Forma'!J$59*E$57,0)</f>
        <v/>
      </c>
      <c r="F69" s="16">
        <f>IF(9&lt;='Assumptions'!$B$25,'Pro Forma'!J$56+'Pro Forma'!J$59*F$57,0)</f>
        <v/>
      </c>
    </row>
    <row r="70">
      <c r="A70" s="10" t="inlineStr">
        <is>
          <t>Levered operating year 10</t>
        </is>
      </c>
      <c r="B70" s="16">
        <f>IF(10&lt;='Assumptions'!$B$25,'Pro Forma'!K$56+'Pro Forma'!K$59*B$57,0)</f>
        <v/>
      </c>
      <c r="C70" s="16">
        <f>IF(10&lt;='Assumptions'!$B$25,'Pro Forma'!K$56+'Pro Forma'!K$59*C$57,0)</f>
        <v/>
      </c>
      <c r="D70" s="16">
        <f>IF(10&lt;='Assumptions'!$B$25,'Pro Forma'!K$56+'Pro Forma'!K$59*D$57,0)</f>
        <v/>
      </c>
      <c r="E70" s="16">
        <f>IF(10&lt;='Assumptions'!$B$25,'Pro Forma'!K$56+'Pro Forma'!K$59*E$57,0)</f>
        <v/>
      </c>
      <c r="F70" s="16">
        <f>IF(10&lt;='Assumptions'!$B$25,'Pro Forma'!K$56+'Pro Forma'!K$59*F$57,0)</f>
        <v/>
      </c>
    </row>
    <row r="72">
      <c r="A72" s="4" t="inlineStr">
        <is>
          <t>Twenty-five combinations: exit cap by purchase price</t>
        </is>
      </c>
    </row>
    <row r="73">
      <c r="A73" s="10" t="inlineStr">
        <is>
          <t>Exit cap</t>
        </is>
      </c>
      <c r="B73" s="66">
        <f>'Assumptions'!$B$79+(-2)*'Assumptions'!$B$89</f>
        <v/>
      </c>
      <c r="C73" s="66">
        <f>'Assumptions'!$B$79+(-2)*'Assumptions'!$B$89</f>
        <v/>
      </c>
      <c r="D73" s="66">
        <f>'Assumptions'!$B$79+(-2)*'Assumptions'!$B$89</f>
        <v/>
      </c>
      <c r="E73" s="66">
        <f>'Assumptions'!$B$79+(-2)*'Assumptions'!$B$89</f>
        <v/>
      </c>
      <c r="F73" s="66">
        <f>'Assumptions'!$B$79+(-2)*'Assumptions'!$B$89</f>
        <v/>
      </c>
      <c r="G73" s="66">
        <f>'Assumptions'!$B$79+(-1)*'Assumptions'!$B$89</f>
        <v/>
      </c>
      <c r="H73" s="66">
        <f>'Assumptions'!$B$79+(-1)*'Assumptions'!$B$89</f>
        <v/>
      </c>
      <c r="I73" s="66">
        <f>'Assumptions'!$B$79+(-1)*'Assumptions'!$B$89</f>
        <v/>
      </c>
      <c r="J73" s="66">
        <f>'Assumptions'!$B$79+(-1)*'Assumptions'!$B$89</f>
        <v/>
      </c>
      <c r="K73" s="66">
        <f>'Assumptions'!$B$79+(-1)*'Assumptions'!$B$89</f>
        <v/>
      </c>
      <c r="L73" s="66">
        <f>'Assumptions'!$B$79+(0)*'Assumptions'!$B$89</f>
        <v/>
      </c>
      <c r="M73" s="66">
        <f>'Assumptions'!$B$79+(0)*'Assumptions'!$B$89</f>
        <v/>
      </c>
      <c r="N73" s="66">
        <f>'Assumptions'!$B$79+(0)*'Assumptions'!$B$89</f>
        <v/>
      </c>
      <c r="O73" s="66">
        <f>'Assumptions'!$B$79+(0)*'Assumptions'!$B$89</f>
        <v/>
      </c>
      <c r="P73" s="66">
        <f>'Assumptions'!$B$79+(0)*'Assumptions'!$B$89</f>
        <v/>
      </c>
      <c r="Q73" s="66">
        <f>'Assumptions'!$B$79+(1)*'Assumptions'!$B$89</f>
        <v/>
      </c>
      <c r="R73" s="66">
        <f>'Assumptions'!$B$79+(1)*'Assumptions'!$B$89</f>
        <v/>
      </c>
      <c r="S73" s="66">
        <f>'Assumptions'!$B$79+(1)*'Assumptions'!$B$89</f>
        <v/>
      </c>
      <c r="T73" s="66">
        <f>'Assumptions'!$B$79+(1)*'Assumptions'!$B$89</f>
        <v/>
      </c>
      <c r="U73" s="66">
        <f>'Assumptions'!$B$79+(1)*'Assumptions'!$B$89</f>
        <v/>
      </c>
      <c r="V73" s="66">
        <f>'Assumptions'!$B$79+(2)*'Assumptions'!$B$89</f>
        <v/>
      </c>
      <c r="W73" s="66">
        <f>'Assumptions'!$B$79+(2)*'Assumptions'!$B$89</f>
        <v/>
      </c>
      <c r="X73" s="66">
        <f>'Assumptions'!$B$79+(2)*'Assumptions'!$B$89</f>
        <v/>
      </c>
      <c r="Y73" s="66">
        <f>'Assumptions'!$B$79+(2)*'Assumptions'!$B$89</f>
        <v/>
      </c>
      <c r="Z73" s="66">
        <f>'Assumptions'!$B$79+(2)*'Assumptions'!$B$89</f>
        <v/>
      </c>
    </row>
    <row r="74">
      <c r="A74" s="10" t="inlineStr">
        <is>
          <t>Purchase price</t>
        </is>
      </c>
      <c r="B74" s="16">
        <f>B$52</f>
        <v/>
      </c>
      <c r="C74" s="16">
        <f>C$52</f>
        <v/>
      </c>
      <c r="D74" s="16">
        <f>D$52</f>
        <v/>
      </c>
      <c r="E74" s="16">
        <f>E$52</f>
        <v/>
      </c>
      <c r="F74" s="16">
        <f>F$52</f>
        <v/>
      </c>
      <c r="G74" s="16">
        <f>B$52</f>
        <v/>
      </c>
      <c r="H74" s="16">
        <f>C$52</f>
        <v/>
      </c>
      <c r="I74" s="16">
        <f>D$52</f>
        <v/>
      </c>
      <c r="J74" s="16">
        <f>E$52</f>
        <v/>
      </c>
      <c r="K74" s="16">
        <f>F$52</f>
        <v/>
      </c>
      <c r="L74" s="16">
        <f>B$52</f>
        <v/>
      </c>
      <c r="M74" s="16">
        <f>C$52</f>
        <v/>
      </c>
      <c r="N74" s="16">
        <f>D$52</f>
        <v/>
      </c>
      <c r="O74" s="16">
        <f>E$52</f>
        <v/>
      </c>
      <c r="P74" s="16">
        <f>F$52</f>
        <v/>
      </c>
      <c r="Q74" s="16">
        <f>B$52</f>
        <v/>
      </c>
      <c r="R74" s="16">
        <f>C$52</f>
        <v/>
      </c>
      <c r="S74" s="16">
        <f>D$52</f>
        <v/>
      </c>
      <c r="T74" s="16">
        <f>E$52</f>
        <v/>
      </c>
      <c r="U74" s="16">
        <f>F$52</f>
        <v/>
      </c>
      <c r="V74" s="16">
        <f>B$52</f>
        <v/>
      </c>
      <c r="W74" s="16">
        <f>C$52</f>
        <v/>
      </c>
      <c r="X74" s="16">
        <f>D$52</f>
        <v/>
      </c>
      <c r="Y74" s="16">
        <f>E$52</f>
        <v/>
      </c>
      <c r="Z74" s="16">
        <f>F$52</f>
        <v/>
      </c>
    </row>
    <row r="76">
      <c r="A76" s="4" t="inlineStr">
        <is>
          <t>Levered cash flow year 0</t>
        </is>
      </c>
      <c r="B76" s="16">
        <f>-B$56</f>
        <v/>
      </c>
      <c r="C76" s="16">
        <f>-C$56</f>
        <v/>
      </c>
      <c r="D76" s="16">
        <f>-D$56</f>
        <v/>
      </c>
      <c r="E76" s="16">
        <f>-E$56</f>
        <v/>
      </c>
      <c r="F76" s="16">
        <f>-F$56</f>
        <v/>
      </c>
      <c r="G76" s="16">
        <f>-B$56</f>
        <v/>
      </c>
      <c r="H76" s="16">
        <f>-C$56</f>
        <v/>
      </c>
      <c r="I76" s="16">
        <f>-D$56</f>
        <v/>
      </c>
      <c r="J76" s="16">
        <f>-E$56</f>
        <v/>
      </c>
      <c r="K76" s="16">
        <f>-F$56</f>
        <v/>
      </c>
      <c r="L76" s="16">
        <f>-B$56</f>
        <v/>
      </c>
      <c r="M76" s="16">
        <f>-C$56</f>
        <v/>
      </c>
      <c r="N76" s="16">
        <f>-D$56</f>
        <v/>
      </c>
      <c r="O76" s="16">
        <f>-E$56</f>
        <v/>
      </c>
      <c r="P76" s="16">
        <f>-F$56</f>
        <v/>
      </c>
      <c r="Q76" s="16">
        <f>-B$56</f>
        <v/>
      </c>
      <c r="R76" s="16">
        <f>-C$56</f>
        <v/>
      </c>
      <c r="S76" s="16">
        <f>-D$56</f>
        <v/>
      </c>
      <c r="T76" s="16">
        <f>-E$56</f>
        <v/>
      </c>
      <c r="U76" s="16">
        <f>-F$56</f>
        <v/>
      </c>
      <c r="V76" s="16">
        <f>-B$56</f>
        <v/>
      </c>
      <c r="W76" s="16">
        <f>-C$56</f>
        <v/>
      </c>
      <c r="X76" s="16">
        <f>-D$56</f>
        <v/>
      </c>
      <c r="Y76" s="16">
        <f>-E$56</f>
        <v/>
      </c>
      <c r="Z76" s="16">
        <f>-F$56</f>
        <v/>
      </c>
    </row>
    <row r="77">
      <c r="A77" s="4" t="inlineStr">
        <is>
          <t>Levered cash flow year 1</t>
        </is>
      </c>
      <c r="B77" s="16">
        <f>B61+IF(1='Assumptions'!$B$25,IF(B$73&lt;=0,0,MAX(0,'Returns'!$B$6)/B$73*(1-'Assumptions'!$B$80))-B$58,0)</f>
        <v/>
      </c>
      <c r="C77" s="16">
        <f>C61+IF(1='Assumptions'!$B$25,IF(C$73&lt;=0,0,MAX(0,'Returns'!$B$6)/C$73*(1-'Assumptions'!$B$80))-C$58,0)</f>
        <v/>
      </c>
      <c r="D77" s="16">
        <f>D61+IF(1='Assumptions'!$B$25,IF(D$73&lt;=0,0,MAX(0,'Returns'!$B$6)/D$73*(1-'Assumptions'!$B$80))-D$58,0)</f>
        <v/>
      </c>
      <c r="E77" s="16">
        <f>E61+IF(1='Assumptions'!$B$25,IF(E$73&lt;=0,0,MAX(0,'Returns'!$B$6)/E$73*(1-'Assumptions'!$B$80))-E$58,0)</f>
        <v/>
      </c>
      <c r="F77" s="16">
        <f>F61+IF(1='Assumptions'!$B$25,IF(F$73&lt;=0,0,MAX(0,'Returns'!$B$6)/F$73*(1-'Assumptions'!$B$80))-F$58,0)</f>
        <v/>
      </c>
      <c r="G77" s="16">
        <f>B61+IF(1='Assumptions'!$B$25,IF(G$73&lt;=0,0,MAX(0,'Returns'!$B$6)/G$73*(1-'Assumptions'!$B$80))-B$58,0)</f>
        <v/>
      </c>
      <c r="H77" s="16">
        <f>C61+IF(1='Assumptions'!$B$25,IF(H$73&lt;=0,0,MAX(0,'Returns'!$B$6)/H$73*(1-'Assumptions'!$B$80))-C$58,0)</f>
        <v/>
      </c>
      <c r="I77" s="16">
        <f>D61+IF(1='Assumptions'!$B$25,IF(I$73&lt;=0,0,MAX(0,'Returns'!$B$6)/I$73*(1-'Assumptions'!$B$80))-D$58,0)</f>
        <v/>
      </c>
      <c r="J77" s="16">
        <f>E61+IF(1='Assumptions'!$B$25,IF(J$73&lt;=0,0,MAX(0,'Returns'!$B$6)/J$73*(1-'Assumptions'!$B$80))-E$58,0)</f>
        <v/>
      </c>
      <c r="K77" s="16">
        <f>F61+IF(1='Assumptions'!$B$25,IF(K$73&lt;=0,0,MAX(0,'Returns'!$B$6)/K$73*(1-'Assumptions'!$B$80))-F$58,0)</f>
        <v/>
      </c>
      <c r="L77" s="16">
        <f>B61+IF(1='Assumptions'!$B$25,IF(L$73&lt;=0,0,MAX(0,'Returns'!$B$6)/L$73*(1-'Assumptions'!$B$80))-B$58,0)</f>
        <v/>
      </c>
      <c r="M77" s="16">
        <f>C61+IF(1='Assumptions'!$B$25,IF(M$73&lt;=0,0,MAX(0,'Returns'!$B$6)/M$73*(1-'Assumptions'!$B$80))-C$58,0)</f>
        <v/>
      </c>
      <c r="N77" s="16">
        <f>D61+IF(1='Assumptions'!$B$25,IF(N$73&lt;=0,0,MAX(0,'Returns'!$B$6)/N$73*(1-'Assumptions'!$B$80))-D$58,0)</f>
        <v/>
      </c>
      <c r="O77" s="16">
        <f>E61+IF(1='Assumptions'!$B$25,IF(O$73&lt;=0,0,MAX(0,'Returns'!$B$6)/O$73*(1-'Assumptions'!$B$80))-E$58,0)</f>
        <v/>
      </c>
      <c r="P77" s="16">
        <f>F61+IF(1='Assumptions'!$B$25,IF(P$73&lt;=0,0,MAX(0,'Returns'!$B$6)/P$73*(1-'Assumptions'!$B$80))-F$58,0)</f>
        <v/>
      </c>
      <c r="Q77" s="16">
        <f>B61+IF(1='Assumptions'!$B$25,IF(Q$73&lt;=0,0,MAX(0,'Returns'!$B$6)/Q$73*(1-'Assumptions'!$B$80))-B$58,0)</f>
        <v/>
      </c>
      <c r="R77" s="16">
        <f>C61+IF(1='Assumptions'!$B$25,IF(R$73&lt;=0,0,MAX(0,'Returns'!$B$6)/R$73*(1-'Assumptions'!$B$80))-C$58,0)</f>
        <v/>
      </c>
      <c r="S77" s="16">
        <f>D61+IF(1='Assumptions'!$B$25,IF(S$73&lt;=0,0,MAX(0,'Returns'!$B$6)/S$73*(1-'Assumptions'!$B$80))-D$58,0)</f>
        <v/>
      </c>
      <c r="T77" s="16">
        <f>E61+IF(1='Assumptions'!$B$25,IF(T$73&lt;=0,0,MAX(0,'Returns'!$B$6)/T$73*(1-'Assumptions'!$B$80))-E$58,0)</f>
        <v/>
      </c>
      <c r="U77" s="16">
        <f>F61+IF(1='Assumptions'!$B$25,IF(U$73&lt;=0,0,MAX(0,'Returns'!$B$6)/U$73*(1-'Assumptions'!$B$80))-F$58,0)</f>
        <v/>
      </c>
      <c r="V77" s="16">
        <f>B61+IF(1='Assumptions'!$B$25,IF(V$73&lt;=0,0,MAX(0,'Returns'!$B$6)/V$73*(1-'Assumptions'!$B$80))-B$58,0)</f>
        <v/>
      </c>
      <c r="W77" s="16">
        <f>C61+IF(1='Assumptions'!$B$25,IF(W$73&lt;=0,0,MAX(0,'Returns'!$B$6)/W$73*(1-'Assumptions'!$B$80))-C$58,0)</f>
        <v/>
      </c>
      <c r="X77" s="16">
        <f>D61+IF(1='Assumptions'!$B$25,IF(X$73&lt;=0,0,MAX(0,'Returns'!$B$6)/X$73*(1-'Assumptions'!$B$80))-D$58,0)</f>
        <v/>
      </c>
      <c r="Y77" s="16">
        <f>E61+IF(1='Assumptions'!$B$25,IF(Y$73&lt;=0,0,MAX(0,'Returns'!$B$6)/Y$73*(1-'Assumptions'!$B$80))-E$58,0)</f>
        <v/>
      </c>
      <c r="Z77" s="16">
        <f>F61+IF(1='Assumptions'!$B$25,IF(Z$73&lt;=0,0,MAX(0,'Returns'!$B$6)/Z$73*(1-'Assumptions'!$B$80))-F$58,0)</f>
        <v/>
      </c>
    </row>
    <row r="78">
      <c r="A78" s="4" t="inlineStr">
        <is>
          <t>Levered cash flow year 2</t>
        </is>
      </c>
      <c r="B78" s="16">
        <f>B62+IF(2='Assumptions'!$B$25,IF(B$73&lt;=0,0,MAX(0,'Returns'!$B$6)/B$73*(1-'Assumptions'!$B$80))-B$58,0)</f>
        <v/>
      </c>
      <c r="C78" s="16">
        <f>C62+IF(2='Assumptions'!$B$25,IF(C$73&lt;=0,0,MAX(0,'Returns'!$B$6)/C$73*(1-'Assumptions'!$B$80))-C$58,0)</f>
        <v/>
      </c>
      <c r="D78" s="16">
        <f>D62+IF(2='Assumptions'!$B$25,IF(D$73&lt;=0,0,MAX(0,'Returns'!$B$6)/D$73*(1-'Assumptions'!$B$80))-D$58,0)</f>
        <v/>
      </c>
      <c r="E78" s="16">
        <f>E62+IF(2='Assumptions'!$B$25,IF(E$73&lt;=0,0,MAX(0,'Returns'!$B$6)/E$73*(1-'Assumptions'!$B$80))-E$58,0)</f>
        <v/>
      </c>
      <c r="F78" s="16">
        <f>F62+IF(2='Assumptions'!$B$25,IF(F$73&lt;=0,0,MAX(0,'Returns'!$B$6)/F$73*(1-'Assumptions'!$B$80))-F$58,0)</f>
        <v/>
      </c>
      <c r="G78" s="16">
        <f>B62+IF(2='Assumptions'!$B$25,IF(G$73&lt;=0,0,MAX(0,'Returns'!$B$6)/G$73*(1-'Assumptions'!$B$80))-B$58,0)</f>
        <v/>
      </c>
      <c r="H78" s="16">
        <f>C62+IF(2='Assumptions'!$B$25,IF(H$73&lt;=0,0,MAX(0,'Returns'!$B$6)/H$73*(1-'Assumptions'!$B$80))-C$58,0)</f>
        <v/>
      </c>
      <c r="I78" s="16">
        <f>D62+IF(2='Assumptions'!$B$25,IF(I$73&lt;=0,0,MAX(0,'Returns'!$B$6)/I$73*(1-'Assumptions'!$B$80))-D$58,0)</f>
        <v/>
      </c>
      <c r="J78" s="16">
        <f>E62+IF(2='Assumptions'!$B$25,IF(J$73&lt;=0,0,MAX(0,'Returns'!$B$6)/J$73*(1-'Assumptions'!$B$80))-E$58,0)</f>
        <v/>
      </c>
      <c r="K78" s="16">
        <f>F62+IF(2='Assumptions'!$B$25,IF(K$73&lt;=0,0,MAX(0,'Returns'!$B$6)/K$73*(1-'Assumptions'!$B$80))-F$58,0)</f>
        <v/>
      </c>
      <c r="L78" s="16">
        <f>B62+IF(2='Assumptions'!$B$25,IF(L$73&lt;=0,0,MAX(0,'Returns'!$B$6)/L$73*(1-'Assumptions'!$B$80))-B$58,0)</f>
        <v/>
      </c>
      <c r="M78" s="16">
        <f>C62+IF(2='Assumptions'!$B$25,IF(M$73&lt;=0,0,MAX(0,'Returns'!$B$6)/M$73*(1-'Assumptions'!$B$80))-C$58,0)</f>
        <v/>
      </c>
      <c r="N78" s="16">
        <f>D62+IF(2='Assumptions'!$B$25,IF(N$73&lt;=0,0,MAX(0,'Returns'!$B$6)/N$73*(1-'Assumptions'!$B$80))-D$58,0)</f>
        <v/>
      </c>
      <c r="O78" s="16">
        <f>E62+IF(2='Assumptions'!$B$25,IF(O$73&lt;=0,0,MAX(0,'Returns'!$B$6)/O$73*(1-'Assumptions'!$B$80))-E$58,0)</f>
        <v/>
      </c>
      <c r="P78" s="16">
        <f>F62+IF(2='Assumptions'!$B$25,IF(P$73&lt;=0,0,MAX(0,'Returns'!$B$6)/P$73*(1-'Assumptions'!$B$80))-F$58,0)</f>
        <v/>
      </c>
      <c r="Q78" s="16">
        <f>B62+IF(2='Assumptions'!$B$25,IF(Q$73&lt;=0,0,MAX(0,'Returns'!$B$6)/Q$73*(1-'Assumptions'!$B$80))-B$58,0)</f>
        <v/>
      </c>
      <c r="R78" s="16">
        <f>C62+IF(2='Assumptions'!$B$25,IF(R$73&lt;=0,0,MAX(0,'Returns'!$B$6)/R$73*(1-'Assumptions'!$B$80))-C$58,0)</f>
        <v/>
      </c>
      <c r="S78" s="16">
        <f>D62+IF(2='Assumptions'!$B$25,IF(S$73&lt;=0,0,MAX(0,'Returns'!$B$6)/S$73*(1-'Assumptions'!$B$80))-D$58,0)</f>
        <v/>
      </c>
      <c r="T78" s="16">
        <f>E62+IF(2='Assumptions'!$B$25,IF(T$73&lt;=0,0,MAX(0,'Returns'!$B$6)/T$73*(1-'Assumptions'!$B$80))-E$58,0)</f>
        <v/>
      </c>
      <c r="U78" s="16">
        <f>F62+IF(2='Assumptions'!$B$25,IF(U$73&lt;=0,0,MAX(0,'Returns'!$B$6)/U$73*(1-'Assumptions'!$B$80))-F$58,0)</f>
        <v/>
      </c>
      <c r="V78" s="16">
        <f>B62+IF(2='Assumptions'!$B$25,IF(V$73&lt;=0,0,MAX(0,'Returns'!$B$6)/V$73*(1-'Assumptions'!$B$80))-B$58,0)</f>
        <v/>
      </c>
      <c r="W78" s="16">
        <f>C62+IF(2='Assumptions'!$B$25,IF(W$73&lt;=0,0,MAX(0,'Returns'!$B$6)/W$73*(1-'Assumptions'!$B$80))-C$58,0)</f>
        <v/>
      </c>
      <c r="X78" s="16">
        <f>D62+IF(2='Assumptions'!$B$25,IF(X$73&lt;=0,0,MAX(0,'Returns'!$B$6)/X$73*(1-'Assumptions'!$B$80))-D$58,0)</f>
        <v/>
      </c>
      <c r="Y78" s="16">
        <f>E62+IF(2='Assumptions'!$B$25,IF(Y$73&lt;=0,0,MAX(0,'Returns'!$B$6)/Y$73*(1-'Assumptions'!$B$80))-E$58,0)</f>
        <v/>
      </c>
      <c r="Z78" s="16">
        <f>F62+IF(2='Assumptions'!$B$25,IF(Z$73&lt;=0,0,MAX(0,'Returns'!$B$6)/Z$73*(1-'Assumptions'!$B$80))-F$58,0)</f>
        <v/>
      </c>
    </row>
    <row r="79">
      <c r="A79" s="4" t="inlineStr">
        <is>
          <t>Levered cash flow year 3</t>
        </is>
      </c>
      <c r="B79" s="16">
        <f>B63+IF(3='Assumptions'!$B$25,IF(B$73&lt;=0,0,MAX(0,'Returns'!$B$6)/B$73*(1-'Assumptions'!$B$80))-B$58,0)</f>
        <v/>
      </c>
      <c r="C79" s="16">
        <f>C63+IF(3='Assumptions'!$B$25,IF(C$73&lt;=0,0,MAX(0,'Returns'!$B$6)/C$73*(1-'Assumptions'!$B$80))-C$58,0)</f>
        <v/>
      </c>
      <c r="D79" s="16">
        <f>D63+IF(3='Assumptions'!$B$25,IF(D$73&lt;=0,0,MAX(0,'Returns'!$B$6)/D$73*(1-'Assumptions'!$B$80))-D$58,0)</f>
        <v/>
      </c>
      <c r="E79" s="16">
        <f>E63+IF(3='Assumptions'!$B$25,IF(E$73&lt;=0,0,MAX(0,'Returns'!$B$6)/E$73*(1-'Assumptions'!$B$80))-E$58,0)</f>
        <v/>
      </c>
      <c r="F79" s="16">
        <f>F63+IF(3='Assumptions'!$B$25,IF(F$73&lt;=0,0,MAX(0,'Returns'!$B$6)/F$73*(1-'Assumptions'!$B$80))-F$58,0)</f>
        <v/>
      </c>
      <c r="G79" s="16">
        <f>B63+IF(3='Assumptions'!$B$25,IF(G$73&lt;=0,0,MAX(0,'Returns'!$B$6)/G$73*(1-'Assumptions'!$B$80))-B$58,0)</f>
        <v/>
      </c>
      <c r="H79" s="16">
        <f>C63+IF(3='Assumptions'!$B$25,IF(H$73&lt;=0,0,MAX(0,'Returns'!$B$6)/H$73*(1-'Assumptions'!$B$80))-C$58,0)</f>
        <v/>
      </c>
      <c r="I79" s="16">
        <f>D63+IF(3='Assumptions'!$B$25,IF(I$73&lt;=0,0,MAX(0,'Returns'!$B$6)/I$73*(1-'Assumptions'!$B$80))-D$58,0)</f>
        <v/>
      </c>
      <c r="J79" s="16">
        <f>E63+IF(3='Assumptions'!$B$25,IF(J$73&lt;=0,0,MAX(0,'Returns'!$B$6)/J$73*(1-'Assumptions'!$B$80))-E$58,0)</f>
        <v/>
      </c>
      <c r="K79" s="16">
        <f>F63+IF(3='Assumptions'!$B$25,IF(K$73&lt;=0,0,MAX(0,'Returns'!$B$6)/K$73*(1-'Assumptions'!$B$80))-F$58,0)</f>
        <v/>
      </c>
      <c r="L79" s="16">
        <f>B63+IF(3='Assumptions'!$B$25,IF(L$73&lt;=0,0,MAX(0,'Returns'!$B$6)/L$73*(1-'Assumptions'!$B$80))-B$58,0)</f>
        <v/>
      </c>
      <c r="M79" s="16">
        <f>C63+IF(3='Assumptions'!$B$25,IF(M$73&lt;=0,0,MAX(0,'Returns'!$B$6)/M$73*(1-'Assumptions'!$B$80))-C$58,0)</f>
        <v/>
      </c>
      <c r="N79" s="16">
        <f>D63+IF(3='Assumptions'!$B$25,IF(N$73&lt;=0,0,MAX(0,'Returns'!$B$6)/N$73*(1-'Assumptions'!$B$80))-D$58,0)</f>
        <v/>
      </c>
      <c r="O79" s="16">
        <f>E63+IF(3='Assumptions'!$B$25,IF(O$73&lt;=0,0,MAX(0,'Returns'!$B$6)/O$73*(1-'Assumptions'!$B$80))-E$58,0)</f>
        <v/>
      </c>
      <c r="P79" s="16">
        <f>F63+IF(3='Assumptions'!$B$25,IF(P$73&lt;=0,0,MAX(0,'Returns'!$B$6)/P$73*(1-'Assumptions'!$B$80))-F$58,0)</f>
        <v/>
      </c>
      <c r="Q79" s="16">
        <f>B63+IF(3='Assumptions'!$B$25,IF(Q$73&lt;=0,0,MAX(0,'Returns'!$B$6)/Q$73*(1-'Assumptions'!$B$80))-B$58,0)</f>
        <v/>
      </c>
      <c r="R79" s="16">
        <f>C63+IF(3='Assumptions'!$B$25,IF(R$73&lt;=0,0,MAX(0,'Returns'!$B$6)/R$73*(1-'Assumptions'!$B$80))-C$58,0)</f>
        <v/>
      </c>
      <c r="S79" s="16">
        <f>D63+IF(3='Assumptions'!$B$25,IF(S$73&lt;=0,0,MAX(0,'Returns'!$B$6)/S$73*(1-'Assumptions'!$B$80))-D$58,0)</f>
        <v/>
      </c>
      <c r="T79" s="16">
        <f>E63+IF(3='Assumptions'!$B$25,IF(T$73&lt;=0,0,MAX(0,'Returns'!$B$6)/T$73*(1-'Assumptions'!$B$80))-E$58,0)</f>
        <v/>
      </c>
      <c r="U79" s="16">
        <f>F63+IF(3='Assumptions'!$B$25,IF(U$73&lt;=0,0,MAX(0,'Returns'!$B$6)/U$73*(1-'Assumptions'!$B$80))-F$58,0)</f>
        <v/>
      </c>
      <c r="V79" s="16">
        <f>B63+IF(3='Assumptions'!$B$25,IF(V$73&lt;=0,0,MAX(0,'Returns'!$B$6)/V$73*(1-'Assumptions'!$B$80))-B$58,0)</f>
        <v/>
      </c>
      <c r="W79" s="16">
        <f>C63+IF(3='Assumptions'!$B$25,IF(W$73&lt;=0,0,MAX(0,'Returns'!$B$6)/W$73*(1-'Assumptions'!$B$80))-C$58,0)</f>
        <v/>
      </c>
      <c r="X79" s="16">
        <f>D63+IF(3='Assumptions'!$B$25,IF(X$73&lt;=0,0,MAX(0,'Returns'!$B$6)/X$73*(1-'Assumptions'!$B$80))-D$58,0)</f>
        <v/>
      </c>
      <c r="Y79" s="16">
        <f>E63+IF(3='Assumptions'!$B$25,IF(Y$73&lt;=0,0,MAX(0,'Returns'!$B$6)/Y$73*(1-'Assumptions'!$B$80))-E$58,0)</f>
        <v/>
      </c>
      <c r="Z79" s="16">
        <f>F63+IF(3='Assumptions'!$B$25,IF(Z$73&lt;=0,0,MAX(0,'Returns'!$B$6)/Z$73*(1-'Assumptions'!$B$80))-F$58,0)</f>
        <v/>
      </c>
    </row>
    <row r="80">
      <c r="A80" s="4" t="inlineStr">
        <is>
          <t>Levered cash flow year 4</t>
        </is>
      </c>
      <c r="B80" s="16">
        <f>B64+IF(4='Assumptions'!$B$25,IF(B$73&lt;=0,0,MAX(0,'Returns'!$B$6)/B$73*(1-'Assumptions'!$B$80))-B$58,0)</f>
        <v/>
      </c>
      <c r="C80" s="16">
        <f>C64+IF(4='Assumptions'!$B$25,IF(C$73&lt;=0,0,MAX(0,'Returns'!$B$6)/C$73*(1-'Assumptions'!$B$80))-C$58,0)</f>
        <v/>
      </c>
      <c r="D80" s="16">
        <f>D64+IF(4='Assumptions'!$B$25,IF(D$73&lt;=0,0,MAX(0,'Returns'!$B$6)/D$73*(1-'Assumptions'!$B$80))-D$58,0)</f>
        <v/>
      </c>
      <c r="E80" s="16">
        <f>E64+IF(4='Assumptions'!$B$25,IF(E$73&lt;=0,0,MAX(0,'Returns'!$B$6)/E$73*(1-'Assumptions'!$B$80))-E$58,0)</f>
        <v/>
      </c>
      <c r="F80" s="16">
        <f>F64+IF(4='Assumptions'!$B$25,IF(F$73&lt;=0,0,MAX(0,'Returns'!$B$6)/F$73*(1-'Assumptions'!$B$80))-F$58,0)</f>
        <v/>
      </c>
      <c r="G80" s="16">
        <f>B64+IF(4='Assumptions'!$B$25,IF(G$73&lt;=0,0,MAX(0,'Returns'!$B$6)/G$73*(1-'Assumptions'!$B$80))-B$58,0)</f>
        <v/>
      </c>
      <c r="H80" s="16">
        <f>C64+IF(4='Assumptions'!$B$25,IF(H$73&lt;=0,0,MAX(0,'Returns'!$B$6)/H$73*(1-'Assumptions'!$B$80))-C$58,0)</f>
        <v/>
      </c>
      <c r="I80" s="16">
        <f>D64+IF(4='Assumptions'!$B$25,IF(I$73&lt;=0,0,MAX(0,'Returns'!$B$6)/I$73*(1-'Assumptions'!$B$80))-D$58,0)</f>
        <v/>
      </c>
      <c r="J80" s="16">
        <f>E64+IF(4='Assumptions'!$B$25,IF(J$73&lt;=0,0,MAX(0,'Returns'!$B$6)/J$73*(1-'Assumptions'!$B$80))-E$58,0)</f>
        <v/>
      </c>
      <c r="K80" s="16">
        <f>F64+IF(4='Assumptions'!$B$25,IF(K$73&lt;=0,0,MAX(0,'Returns'!$B$6)/K$73*(1-'Assumptions'!$B$80))-F$58,0)</f>
        <v/>
      </c>
      <c r="L80" s="16">
        <f>B64+IF(4='Assumptions'!$B$25,IF(L$73&lt;=0,0,MAX(0,'Returns'!$B$6)/L$73*(1-'Assumptions'!$B$80))-B$58,0)</f>
        <v/>
      </c>
      <c r="M80" s="16">
        <f>C64+IF(4='Assumptions'!$B$25,IF(M$73&lt;=0,0,MAX(0,'Returns'!$B$6)/M$73*(1-'Assumptions'!$B$80))-C$58,0)</f>
        <v/>
      </c>
      <c r="N80" s="16">
        <f>D64+IF(4='Assumptions'!$B$25,IF(N$73&lt;=0,0,MAX(0,'Returns'!$B$6)/N$73*(1-'Assumptions'!$B$80))-D$58,0)</f>
        <v/>
      </c>
      <c r="O80" s="16">
        <f>E64+IF(4='Assumptions'!$B$25,IF(O$73&lt;=0,0,MAX(0,'Returns'!$B$6)/O$73*(1-'Assumptions'!$B$80))-E$58,0)</f>
        <v/>
      </c>
      <c r="P80" s="16">
        <f>F64+IF(4='Assumptions'!$B$25,IF(P$73&lt;=0,0,MAX(0,'Returns'!$B$6)/P$73*(1-'Assumptions'!$B$80))-F$58,0)</f>
        <v/>
      </c>
      <c r="Q80" s="16">
        <f>B64+IF(4='Assumptions'!$B$25,IF(Q$73&lt;=0,0,MAX(0,'Returns'!$B$6)/Q$73*(1-'Assumptions'!$B$80))-B$58,0)</f>
        <v/>
      </c>
      <c r="R80" s="16">
        <f>C64+IF(4='Assumptions'!$B$25,IF(R$73&lt;=0,0,MAX(0,'Returns'!$B$6)/R$73*(1-'Assumptions'!$B$80))-C$58,0)</f>
        <v/>
      </c>
      <c r="S80" s="16">
        <f>D64+IF(4='Assumptions'!$B$25,IF(S$73&lt;=0,0,MAX(0,'Returns'!$B$6)/S$73*(1-'Assumptions'!$B$80))-D$58,0)</f>
        <v/>
      </c>
      <c r="T80" s="16">
        <f>E64+IF(4='Assumptions'!$B$25,IF(T$73&lt;=0,0,MAX(0,'Returns'!$B$6)/T$73*(1-'Assumptions'!$B$80))-E$58,0)</f>
        <v/>
      </c>
      <c r="U80" s="16">
        <f>F64+IF(4='Assumptions'!$B$25,IF(U$73&lt;=0,0,MAX(0,'Returns'!$B$6)/U$73*(1-'Assumptions'!$B$80))-F$58,0)</f>
        <v/>
      </c>
      <c r="V80" s="16">
        <f>B64+IF(4='Assumptions'!$B$25,IF(V$73&lt;=0,0,MAX(0,'Returns'!$B$6)/V$73*(1-'Assumptions'!$B$80))-B$58,0)</f>
        <v/>
      </c>
      <c r="W80" s="16">
        <f>C64+IF(4='Assumptions'!$B$25,IF(W$73&lt;=0,0,MAX(0,'Returns'!$B$6)/W$73*(1-'Assumptions'!$B$80))-C$58,0)</f>
        <v/>
      </c>
      <c r="X80" s="16">
        <f>D64+IF(4='Assumptions'!$B$25,IF(X$73&lt;=0,0,MAX(0,'Returns'!$B$6)/X$73*(1-'Assumptions'!$B$80))-D$58,0)</f>
        <v/>
      </c>
      <c r="Y80" s="16">
        <f>E64+IF(4='Assumptions'!$B$25,IF(Y$73&lt;=0,0,MAX(0,'Returns'!$B$6)/Y$73*(1-'Assumptions'!$B$80))-E$58,0)</f>
        <v/>
      </c>
      <c r="Z80" s="16">
        <f>F64+IF(4='Assumptions'!$B$25,IF(Z$73&lt;=0,0,MAX(0,'Returns'!$B$6)/Z$73*(1-'Assumptions'!$B$80))-F$58,0)</f>
        <v/>
      </c>
    </row>
    <row r="81">
      <c r="A81" s="4" t="inlineStr">
        <is>
          <t>Levered cash flow year 5</t>
        </is>
      </c>
      <c r="B81" s="16">
        <f>B65+IF(5='Assumptions'!$B$25,IF(B$73&lt;=0,0,MAX(0,'Returns'!$B$6)/B$73*(1-'Assumptions'!$B$80))-B$58,0)</f>
        <v/>
      </c>
      <c r="C81" s="16">
        <f>C65+IF(5='Assumptions'!$B$25,IF(C$73&lt;=0,0,MAX(0,'Returns'!$B$6)/C$73*(1-'Assumptions'!$B$80))-C$58,0)</f>
        <v/>
      </c>
      <c r="D81" s="16">
        <f>D65+IF(5='Assumptions'!$B$25,IF(D$73&lt;=0,0,MAX(0,'Returns'!$B$6)/D$73*(1-'Assumptions'!$B$80))-D$58,0)</f>
        <v/>
      </c>
      <c r="E81" s="16">
        <f>E65+IF(5='Assumptions'!$B$25,IF(E$73&lt;=0,0,MAX(0,'Returns'!$B$6)/E$73*(1-'Assumptions'!$B$80))-E$58,0)</f>
        <v/>
      </c>
      <c r="F81" s="16">
        <f>F65+IF(5='Assumptions'!$B$25,IF(F$73&lt;=0,0,MAX(0,'Returns'!$B$6)/F$73*(1-'Assumptions'!$B$80))-F$58,0)</f>
        <v/>
      </c>
      <c r="G81" s="16">
        <f>B65+IF(5='Assumptions'!$B$25,IF(G$73&lt;=0,0,MAX(0,'Returns'!$B$6)/G$73*(1-'Assumptions'!$B$80))-B$58,0)</f>
        <v/>
      </c>
      <c r="H81" s="16">
        <f>C65+IF(5='Assumptions'!$B$25,IF(H$73&lt;=0,0,MAX(0,'Returns'!$B$6)/H$73*(1-'Assumptions'!$B$80))-C$58,0)</f>
        <v/>
      </c>
      <c r="I81" s="16">
        <f>D65+IF(5='Assumptions'!$B$25,IF(I$73&lt;=0,0,MAX(0,'Returns'!$B$6)/I$73*(1-'Assumptions'!$B$80))-D$58,0)</f>
        <v/>
      </c>
      <c r="J81" s="16">
        <f>E65+IF(5='Assumptions'!$B$25,IF(J$73&lt;=0,0,MAX(0,'Returns'!$B$6)/J$73*(1-'Assumptions'!$B$80))-E$58,0)</f>
        <v/>
      </c>
      <c r="K81" s="16">
        <f>F65+IF(5='Assumptions'!$B$25,IF(K$73&lt;=0,0,MAX(0,'Returns'!$B$6)/K$73*(1-'Assumptions'!$B$80))-F$58,0)</f>
        <v/>
      </c>
      <c r="L81" s="16">
        <f>B65+IF(5='Assumptions'!$B$25,IF(L$73&lt;=0,0,MAX(0,'Returns'!$B$6)/L$73*(1-'Assumptions'!$B$80))-B$58,0)</f>
        <v/>
      </c>
      <c r="M81" s="16">
        <f>C65+IF(5='Assumptions'!$B$25,IF(M$73&lt;=0,0,MAX(0,'Returns'!$B$6)/M$73*(1-'Assumptions'!$B$80))-C$58,0)</f>
        <v/>
      </c>
      <c r="N81" s="16">
        <f>D65+IF(5='Assumptions'!$B$25,IF(N$73&lt;=0,0,MAX(0,'Returns'!$B$6)/N$73*(1-'Assumptions'!$B$80))-D$58,0)</f>
        <v/>
      </c>
      <c r="O81" s="16">
        <f>E65+IF(5='Assumptions'!$B$25,IF(O$73&lt;=0,0,MAX(0,'Returns'!$B$6)/O$73*(1-'Assumptions'!$B$80))-E$58,0)</f>
        <v/>
      </c>
      <c r="P81" s="16">
        <f>F65+IF(5='Assumptions'!$B$25,IF(P$73&lt;=0,0,MAX(0,'Returns'!$B$6)/P$73*(1-'Assumptions'!$B$80))-F$58,0)</f>
        <v/>
      </c>
      <c r="Q81" s="16">
        <f>B65+IF(5='Assumptions'!$B$25,IF(Q$73&lt;=0,0,MAX(0,'Returns'!$B$6)/Q$73*(1-'Assumptions'!$B$80))-B$58,0)</f>
        <v/>
      </c>
      <c r="R81" s="16">
        <f>C65+IF(5='Assumptions'!$B$25,IF(R$73&lt;=0,0,MAX(0,'Returns'!$B$6)/R$73*(1-'Assumptions'!$B$80))-C$58,0)</f>
        <v/>
      </c>
      <c r="S81" s="16">
        <f>D65+IF(5='Assumptions'!$B$25,IF(S$73&lt;=0,0,MAX(0,'Returns'!$B$6)/S$73*(1-'Assumptions'!$B$80))-D$58,0)</f>
        <v/>
      </c>
      <c r="T81" s="16">
        <f>E65+IF(5='Assumptions'!$B$25,IF(T$73&lt;=0,0,MAX(0,'Returns'!$B$6)/T$73*(1-'Assumptions'!$B$80))-E$58,0)</f>
        <v/>
      </c>
      <c r="U81" s="16">
        <f>F65+IF(5='Assumptions'!$B$25,IF(U$73&lt;=0,0,MAX(0,'Returns'!$B$6)/U$73*(1-'Assumptions'!$B$80))-F$58,0)</f>
        <v/>
      </c>
      <c r="V81" s="16">
        <f>B65+IF(5='Assumptions'!$B$25,IF(V$73&lt;=0,0,MAX(0,'Returns'!$B$6)/V$73*(1-'Assumptions'!$B$80))-B$58,0)</f>
        <v/>
      </c>
      <c r="W81" s="16">
        <f>C65+IF(5='Assumptions'!$B$25,IF(W$73&lt;=0,0,MAX(0,'Returns'!$B$6)/W$73*(1-'Assumptions'!$B$80))-C$58,0)</f>
        <v/>
      </c>
      <c r="X81" s="16">
        <f>D65+IF(5='Assumptions'!$B$25,IF(X$73&lt;=0,0,MAX(0,'Returns'!$B$6)/X$73*(1-'Assumptions'!$B$80))-D$58,0)</f>
        <v/>
      </c>
      <c r="Y81" s="16">
        <f>E65+IF(5='Assumptions'!$B$25,IF(Y$73&lt;=0,0,MAX(0,'Returns'!$B$6)/Y$73*(1-'Assumptions'!$B$80))-E$58,0)</f>
        <v/>
      </c>
      <c r="Z81" s="16">
        <f>F65+IF(5='Assumptions'!$B$25,IF(Z$73&lt;=0,0,MAX(0,'Returns'!$B$6)/Z$73*(1-'Assumptions'!$B$80))-F$58,0)</f>
        <v/>
      </c>
    </row>
    <row r="82">
      <c r="A82" s="4" t="inlineStr">
        <is>
          <t>Levered cash flow year 6</t>
        </is>
      </c>
      <c r="B82" s="16">
        <f>B66+IF(6='Assumptions'!$B$25,IF(B$73&lt;=0,0,MAX(0,'Returns'!$B$6)/B$73*(1-'Assumptions'!$B$80))-B$58,0)</f>
        <v/>
      </c>
      <c r="C82" s="16">
        <f>C66+IF(6='Assumptions'!$B$25,IF(C$73&lt;=0,0,MAX(0,'Returns'!$B$6)/C$73*(1-'Assumptions'!$B$80))-C$58,0)</f>
        <v/>
      </c>
      <c r="D82" s="16">
        <f>D66+IF(6='Assumptions'!$B$25,IF(D$73&lt;=0,0,MAX(0,'Returns'!$B$6)/D$73*(1-'Assumptions'!$B$80))-D$58,0)</f>
        <v/>
      </c>
      <c r="E82" s="16">
        <f>E66+IF(6='Assumptions'!$B$25,IF(E$73&lt;=0,0,MAX(0,'Returns'!$B$6)/E$73*(1-'Assumptions'!$B$80))-E$58,0)</f>
        <v/>
      </c>
      <c r="F82" s="16">
        <f>F66+IF(6='Assumptions'!$B$25,IF(F$73&lt;=0,0,MAX(0,'Returns'!$B$6)/F$73*(1-'Assumptions'!$B$80))-F$58,0)</f>
        <v/>
      </c>
      <c r="G82" s="16">
        <f>B66+IF(6='Assumptions'!$B$25,IF(G$73&lt;=0,0,MAX(0,'Returns'!$B$6)/G$73*(1-'Assumptions'!$B$80))-B$58,0)</f>
        <v/>
      </c>
      <c r="H82" s="16">
        <f>C66+IF(6='Assumptions'!$B$25,IF(H$73&lt;=0,0,MAX(0,'Returns'!$B$6)/H$73*(1-'Assumptions'!$B$80))-C$58,0)</f>
        <v/>
      </c>
      <c r="I82" s="16">
        <f>D66+IF(6='Assumptions'!$B$25,IF(I$73&lt;=0,0,MAX(0,'Returns'!$B$6)/I$73*(1-'Assumptions'!$B$80))-D$58,0)</f>
        <v/>
      </c>
      <c r="J82" s="16">
        <f>E66+IF(6='Assumptions'!$B$25,IF(J$73&lt;=0,0,MAX(0,'Returns'!$B$6)/J$73*(1-'Assumptions'!$B$80))-E$58,0)</f>
        <v/>
      </c>
      <c r="K82" s="16">
        <f>F66+IF(6='Assumptions'!$B$25,IF(K$73&lt;=0,0,MAX(0,'Returns'!$B$6)/K$73*(1-'Assumptions'!$B$80))-F$58,0)</f>
        <v/>
      </c>
      <c r="L82" s="16">
        <f>B66+IF(6='Assumptions'!$B$25,IF(L$73&lt;=0,0,MAX(0,'Returns'!$B$6)/L$73*(1-'Assumptions'!$B$80))-B$58,0)</f>
        <v/>
      </c>
      <c r="M82" s="16">
        <f>C66+IF(6='Assumptions'!$B$25,IF(M$73&lt;=0,0,MAX(0,'Returns'!$B$6)/M$73*(1-'Assumptions'!$B$80))-C$58,0)</f>
        <v/>
      </c>
      <c r="N82" s="16">
        <f>D66+IF(6='Assumptions'!$B$25,IF(N$73&lt;=0,0,MAX(0,'Returns'!$B$6)/N$73*(1-'Assumptions'!$B$80))-D$58,0)</f>
        <v/>
      </c>
      <c r="O82" s="16">
        <f>E66+IF(6='Assumptions'!$B$25,IF(O$73&lt;=0,0,MAX(0,'Returns'!$B$6)/O$73*(1-'Assumptions'!$B$80))-E$58,0)</f>
        <v/>
      </c>
      <c r="P82" s="16">
        <f>F66+IF(6='Assumptions'!$B$25,IF(P$73&lt;=0,0,MAX(0,'Returns'!$B$6)/P$73*(1-'Assumptions'!$B$80))-F$58,0)</f>
        <v/>
      </c>
      <c r="Q82" s="16">
        <f>B66+IF(6='Assumptions'!$B$25,IF(Q$73&lt;=0,0,MAX(0,'Returns'!$B$6)/Q$73*(1-'Assumptions'!$B$80))-B$58,0)</f>
        <v/>
      </c>
      <c r="R82" s="16">
        <f>C66+IF(6='Assumptions'!$B$25,IF(R$73&lt;=0,0,MAX(0,'Returns'!$B$6)/R$73*(1-'Assumptions'!$B$80))-C$58,0)</f>
        <v/>
      </c>
      <c r="S82" s="16">
        <f>D66+IF(6='Assumptions'!$B$25,IF(S$73&lt;=0,0,MAX(0,'Returns'!$B$6)/S$73*(1-'Assumptions'!$B$80))-D$58,0)</f>
        <v/>
      </c>
      <c r="T82" s="16">
        <f>E66+IF(6='Assumptions'!$B$25,IF(T$73&lt;=0,0,MAX(0,'Returns'!$B$6)/T$73*(1-'Assumptions'!$B$80))-E$58,0)</f>
        <v/>
      </c>
      <c r="U82" s="16">
        <f>F66+IF(6='Assumptions'!$B$25,IF(U$73&lt;=0,0,MAX(0,'Returns'!$B$6)/U$73*(1-'Assumptions'!$B$80))-F$58,0)</f>
        <v/>
      </c>
      <c r="V82" s="16">
        <f>B66+IF(6='Assumptions'!$B$25,IF(V$73&lt;=0,0,MAX(0,'Returns'!$B$6)/V$73*(1-'Assumptions'!$B$80))-B$58,0)</f>
        <v/>
      </c>
      <c r="W82" s="16">
        <f>C66+IF(6='Assumptions'!$B$25,IF(W$73&lt;=0,0,MAX(0,'Returns'!$B$6)/W$73*(1-'Assumptions'!$B$80))-C$58,0)</f>
        <v/>
      </c>
      <c r="X82" s="16">
        <f>D66+IF(6='Assumptions'!$B$25,IF(X$73&lt;=0,0,MAX(0,'Returns'!$B$6)/X$73*(1-'Assumptions'!$B$80))-D$58,0)</f>
        <v/>
      </c>
      <c r="Y82" s="16">
        <f>E66+IF(6='Assumptions'!$B$25,IF(Y$73&lt;=0,0,MAX(0,'Returns'!$B$6)/Y$73*(1-'Assumptions'!$B$80))-E$58,0)</f>
        <v/>
      </c>
      <c r="Z82" s="16">
        <f>F66+IF(6='Assumptions'!$B$25,IF(Z$73&lt;=0,0,MAX(0,'Returns'!$B$6)/Z$73*(1-'Assumptions'!$B$80))-F$58,0)</f>
        <v/>
      </c>
    </row>
    <row r="83">
      <c r="A83" s="4" t="inlineStr">
        <is>
          <t>Levered cash flow year 7</t>
        </is>
      </c>
      <c r="B83" s="16">
        <f>B67+IF(7='Assumptions'!$B$25,IF(B$73&lt;=0,0,MAX(0,'Returns'!$B$6)/B$73*(1-'Assumptions'!$B$80))-B$58,0)</f>
        <v/>
      </c>
      <c r="C83" s="16">
        <f>C67+IF(7='Assumptions'!$B$25,IF(C$73&lt;=0,0,MAX(0,'Returns'!$B$6)/C$73*(1-'Assumptions'!$B$80))-C$58,0)</f>
        <v/>
      </c>
      <c r="D83" s="16">
        <f>D67+IF(7='Assumptions'!$B$25,IF(D$73&lt;=0,0,MAX(0,'Returns'!$B$6)/D$73*(1-'Assumptions'!$B$80))-D$58,0)</f>
        <v/>
      </c>
      <c r="E83" s="16">
        <f>E67+IF(7='Assumptions'!$B$25,IF(E$73&lt;=0,0,MAX(0,'Returns'!$B$6)/E$73*(1-'Assumptions'!$B$80))-E$58,0)</f>
        <v/>
      </c>
      <c r="F83" s="16">
        <f>F67+IF(7='Assumptions'!$B$25,IF(F$73&lt;=0,0,MAX(0,'Returns'!$B$6)/F$73*(1-'Assumptions'!$B$80))-F$58,0)</f>
        <v/>
      </c>
      <c r="G83" s="16">
        <f>B67+IF(7='Assumptions'!$B$25,IF(G$73&lt;=0,0,MAX(0,'Returns'!$B$6)/G$73*(1-'Assumptions'!$B$80))-B$58,0)</f>
        <v/>
      </c>
      <c r="H83" s="16">
        <f>C67+IF(7='Assumptions'!$B$25,IF(H$73&lt;=0,0,MAX(0,'Returns'!$B$6)/H$73*(1-'Assumptions'!$B$80))-C$58,0)</f>
        <v/>
      </c>
      <c r="I83" s="16">
        <f>D67+IF(7='Assumptions'!$B$25,IF(I$73&lt;=0,0,MAX(0,'Returns'!$B$6)/I$73*(1-'Assumptions'!$B$80))-D$58,0)</f>
        <v/>
      </c>
      <c r="J83" s="16">
        <f>E67+IF(7='Assumptions'!$B$25,IF(J$73&lt;=0,0,MAX(0,'Returns'!$B$6)/J$73*(1-'Assumptions'!$B$80))-E$58,0)</f>
        <v/>
      </c>
      <c r="K83" s="16">
        <f>F67+IF(7='Assumptions'!$B$25,IF(K$73&lt;=0,0,MAX(0,'Returns'!$B$6)/K$73*(1-'Assumptions'!$B$80))-F$58,0)</f>
        <v/>
      </c>
      <c r="L83" s="16">
        <f>B67+IF(7='Assumptions'!$B$25,IF(L$73&lt;=0,0,MAX(0,'Returns'!$B$6)/L$73*(1-'Assumptions'!$B$80))-B$58,0)</f>
        <v/>
      </c>
      <c r="M83" s="16">
        <f>C67+IF(7='Assumptions'!$B$25,IF(M$73&lt;=0,0,MAX(0,'Returns'!$B$6)/M$73*(1-'Assumptions'!$B$80))-C$58,0)</f>
        <v/>
      </c>
      <c r="N83" s="16">
        <f>D67+IF(7='Assumptions'!$B$25,IF(N$73&lt;=0,0,MAX(0,'Returns'!$B$6)/N$73*(1-'Assumptions'!$B$80))-D$58,0)</f>
        <v/>
      </c>
      <c r="O83" s="16">
        <f>E67+IF(7='Assumptions'!$B$25,IF(O$73&lt;=0,0,MAX(0,'Returns'!$B$6)/O$73*(1-'Assumptions'!$B$80))-E$58,0)</f>
        <v/>
      </c>
      <c r="P83" s="16">
        <f>F67+IF(7='Assumptions'!$B$25,IF(P$73&lt;=0,0,MAX(0,'Returns'!$B$6)/P$73*(1-'Assumptions'!$B$80))-F$58,0)</f>
        <v/>
      </c>
      <c r="Q83" s="16">
        <f>B67+IF(7='Assumptions'!$B$25,IF(Q$73&lt;=0,0,MAX(0,'Returns'!$B$6)/Q$73*(1-'Assumptions'!$B$80))-B$58,0)</f>
        <v/>
      </c>
      <c r="R83" s="16">
        <f>C67+IF(7='Assumptions'!$B$25,IF(R$73&lt;=0,0,MAX(0,'Returns'!$B$6)/R$73*(1-'Assumptions'!$B$80))-C$58,0)</f>
        <v/>
      </c>
      <c r="S83" s="16">
        <f>D67+IF(7='Assumptions'!$B$25,IF(S$73&lt;=0,0,MAX(0,'Returns'!$B$6)/S$73*(1-'Assumptions'!$B$80))-D$58,0)</f>
        <v/>
      </c>
      <c r="T83" s="16">
        <f>E67+IF(7='Assumptions'!$B$25,IF(T$73&lt;=0,0,MAX(0,'Returns'!$B$6)/T$73*(1-'Assumptions'!$B$80))-E$58,0)</f>
        <v/>
      </c>
      <c r="U83" s="16">
        <f>F67+IF(7='Assumptions'!$B$25,IF(U$73&lt;=0,0,MAX(0,'Returns'!$B$6)/U$73*(1-'Assumptions'!$B$80))-F$58,0)</f>
        <v/>
      </c>
      <c r="V83" s="16">
        <f>B67+IF(7='Assumptions'!$B$25,IF(V$73&lt;=0,0,MAX(0,'Returns'!$B$6)/V$73*(1-'Assumptions'!$B$80))-B$58,0)</f>
        <v/>
      </c>
      <c r="W83" s="16">
        <f>C67+IF(7='Assumptions'!$B$25,IF(W$73&lt;=0,0,MAX(0,'Returns'!$B$6)/W$73*(1-'Assumptions'!$B$80))-C$58,0)</f>
        <v/>
      </c>
      <c r="X83" s="16">
        <f>D67+IF(7='Assumptions'!$B$25,IF(X$73&lt;=0,0,MAX(0,'Returns'!$B$6)/X$73*(1-'Assumptions'!$B$80))-D$58,0)</f>
        <v/>
      </c>
      <c r="Y83" s="16">
        <f>E67+IF(7='Assumptions'!$B$25,IF(Y$73&lt;=0,0,MAX(0,'Returns'!$B$6)/Y$73*(1-'Assumptions'!$B$80))-E$58,0)</f>
        <v/>
      </c>
      <c r="Z83" s="16">
        <f>F67+IF(7='Assumptions'!$B$25,IF(Z$73&lt;=0,0,MAX(0,'Returns'!$B$6)/Z$73*(1-'Assumptions'!$B$80))-F$58,0)</f>
        <v/>
      </c>
    </row>
    <row r="84">
      <c r="A84" s="4" t="inlineStr">
        <is>
          <t>Levered cash flow year 8</t>
        </is>
      </c>
      <c r="B84" s="16">
        <f>B68+IF(8='Assumptions'!$B$25,IF(B$73&lt;=0,0,MAX(0,'Returns'!$B$6)/B$73*(1-'Assumptions'!$B$80))-B$58,0)</f>
        <v/>
      </c>
      <c r="C84" s="16">
        <f>C68+IF(8='Assumptions'!$B$25,IF(C$73&lt;=0,0,MAX(0,'Returns'!$B$6)/C$73*(1-'Assumptions'!$B$80))-C$58,0)</f>
        <v/>
      </c>
      <c r="D84" s="16">
        <f>D68+IF(8='Assumptions'!$B$25,IF(D$73&lt;=0,0,MAX(0,'Returns'!$B$6)/D$73*(1-'Assumptions'!$B$80))-D$58,0)</f>
        <v/>
      </c>
      <c r="E84" s="16">
        <f>E68+IF(8='Assumptions'!$B$25,IF(E$73&lt;=0,0,MAX(0,'Returns'!$B$6)/E$73*(1-'Assumptions'!$B$80))-E$58,0)</f>
        <v/>
      </c>
      <c r="F84" s="16">
        <f>F68+IF(8='Assumptions'!$B$25,IF(F$73&lt;=0,0,MAX(0,'Returns'!$B$6)/F$73*(1-'Assumptions'!$B$80))-F$58,0)</f>
        <v/>
      </c>
      <c r="G84" s="16">
        <f>B68+IF(8='Assumptions'!$B$25,IF(G$73&lt;=0,0,MAX(0,'Returns'!$B$6)/G$73*(1-'Assumptions'!$B$80))-B$58,0)</f>
        <v/>
      </c>
      <c r="H84" s="16">
        <f>C68+IF(8='Assumptions'!$B$25,IF(H$73&lt;=0,0,MAX(0,'Returns'!$B$6)/H$73*(1-'Assumptions'!$B$80))-C$58,0)</f>
        <v/>
      </c>
      <c r="I84" s="16">
        <f>D68+IF(8='Assumptions'!$B$25,IF(I$73&lt;=0,0,MAX(0,'Returns'!$B$6)/I$73*(1-'Assumptions'!$B$80))-D$58,0)</f>
        <v/>
      </c>
      <c r="J84" s="16">
        <f>E68+IF(8='Assumptions'!$B$25,IF(J$73&lt;=0,0,MAX(0,'Returns'!$B$6)/J$73*(1-'Assumptions'!$B$80))-E$58,0)</f>
        <v/>
      </c>
      <c r="K84" s="16">
        <f>F68+IF(8='Assumptions'!$B$25,IF(K$73&lt;=0,0,MAX(0,'Returns'!$B$6)/K$73*(1-'Assumptions'!$B$80))-F$58,0)</f>
        <v/>
      </c>
      <c r="L84" s="16">
        <f>B68+IF(8='Assumptions'!$B$25,IF(L$73&lt;=0,0,MAX(0,'Returns'!$B$6)/L$73*(1-'Assumptions'!$B$80))-B$58,0)</f>
        <v/>
      </c>
      <c r="M84" s="16">
        <f>C68+IF(8='Assumptions'!$B$25,IF(M$73&lt;=0,0,MAX(0,'Returns'!$B$6)/M$73*(1-'Assumptions'!$B$80))-C$58,0)</f>
        <v/>
      </c>
      <c r="N84" s="16">
        <f>D68+IF(8='Assumptions'!$B$25,IF(N$73&lt;=0,0,MAX(0,'Returns'!$B$6)/N$73*(1-'Assumptions'!$B$80))-D$58,0)</f>
        <v/>
      </c>
      <c r="O84" s="16">
        <f>E68+IF(8='Assumptions'!$B$25,IF(O$73&lt;=0,0,MAX(0,'Returns'!$B$6)/O$73*(1-'Assumptions'!$B$80))-E$58,0)</f>
        <v/>
      </c>
      <c r="P84" s="16">
        <f>F68+IF(8='Assumptions'!$B$25,IF(P$73&lt;=0,0,MAX(0,'Returns'!$B$6)/P$73*(1-'Assumptions'!$B$80))-F$58,0)</f>
        <v/>
      </c>
      <c r="Q84" s="16">
        <f>B68+IF(8='Assumptions'!$B$25,IF(Q$73&lt;=0,0,MAX(0,'Returns'!$B$6)/Q$73*(1-'Assumptions'!$B$80))-B$58,0)</f>
        <v/>
      </c>
      <c r="R84" s="16">
        <f>C68+IF(8='Assumptions'!$B$25,IF(R$73&lt;=0,0,MAX(0,'Returns'!$B$6)/R$73*(1-'Assumptions'!$B$80))-C$58,0)</f>
        <v/>
      </c>
      <c r="S84" s="16">
        <f>D68+IF(8='Assumptions'!$B$25,IF(S$73&lt;=0,0,MAX(0,'Returns'!$B$6)/S$73*(1-'Assumptions'!$B$80))-D$58,0)</f>
        <v/>
      </c>
      <c r="T84" s="16">
        <f>E68+IF(8='Assumptions'!$B$25,IF(T$73&lt;=0,0,MAX(0,'Returns'!$B$6)/T$73*(1-'Assumptions'!$B$80))-E$58,0)</f>
        <v/>
      </c>
      <c r="U84" s="16">
        <f>F68+IF(8='Assumptions'!$B$25,IF(U$73&lt;=0,0,MAX(0,'Returns'!$B$6)/U$73*(1-'Assumptions'!$B$80))-F$58,0)</f>
        <v/>
      </c>
      <c r="V84" s="16">
        <f>B68+IF(8='Assumptions'!$B$25,IF(V$73&lt;=0,0,MAX(0,'Returns'!$B$6)/V$73*(1-'Assumptions'!$B$80))-B$58,0)</f>
        <v/>
      </c>
      <c r="W84" s="16">
        <f>C68+IF(8='Assumptions'!$B$25,IF(W$73&lt;=0,0,MAX(0,'Returns'!$B$6)/W$73*(1-'Assumptions'!$B$80))-C$58,0)</f>
        <v/>
      </c>
      <c r="X84" s="16">
        <f>D68+IF(8='Assumptions'!$B$25,IF(X$73&lt;=0,0,MAX(0,'Returns'!$B$6)/X$73*(1-'Assumptions'!$B$80))-D$58,0)</f>
        <v/>
      </c>
      <c r="Y84" s="16">
        <f>E68+IF(8='Assumptions'!$B$25,IF(Y$73&lt;=0,0,MAX(0,'Returns'!$B$6)/Y$73*(1-'Assumptions'!$B$80))-E$58,0)</f>
        <v/>
      </c>
      <c r="Z84" s="16">
        <f>F68+IF(8='Assumptions'!$B$25,IF(Z$73&lt;=0,0,MAX(0,'Returns'!$B$6)/Z$73*(1-'Assumptions'!$B$80))-F$58,0)</f>
        <v/>
      </c>
    </row>
    <row r="85">
      <c r="A85" s="4" t="inlineStr">
        <is>
          <t>Levered cash flow year 9</t>
        </is>
      </c>
      <c r="B85" s="16">
        <f>B69+IF(9='Assumptions'!$B$25,IF(B$73&lt;=0,0,MAX(0,'Returns'!$B$6)/B$73*(1-'Assumptions'!$B$80))-B$58,0)</f>
        <v/>
      </c>
      <c r="C85" s="16">
        <f>C69+IF(9='Assumptions'!$B$25,IF(C$73&lt;=0,0,MAX(0,'Returns'!$B$6)/C$73*(1-'Assumptions'!$B$80))-C$58,0)</f>
        <v/>
      </c>
      <c r="D85" s="16">
        <f>D69+IF(9='Assumptions'!$B$25,IF(D$73&lt;=0,0,MAX(0,'Returns'!$B$6)/D$73*(1-'Assumptions'!$B$80))-D$58,0)</f>
        <v/>
      </c>
      <c r="E85" s="16">
        <f>E69+IF(9='Assumptions'!$B$25,IF(E$73&lt;=0,0,MAX(0,'Returns'!$B$6)/E$73*(1-'Assumptions'!$B$80))-E$58,0)</f>
        <v/>
      </c>
      <c r="F85" s="16">
        <f>F69+IF(9='Assumptions'!$B$25,IF(F$73&lt;=0,0,MAX(0,'Returns'!$B$6)/F$73*(1-'Assumptions'!$B$80))-F$58,0)</f>
        <v/>
      </c>
      <c r="G85" s="16">
        <f>B69+IF(9='Assumptions'!$B$25,IF(G$73&lt;=0,0,MAX(0,'Returns'!$B$6)/G$73*(1-'Assumptions'!$B$80))-B$58,0)</f>
        <v/>
      </c>
      <c r="H85" s="16">
        <f>C69+IF(9='Assumptions'!$B$25,IF(H$73&lt;=0,0,MAX(0,'Returns'!$B$6)/H$73*(1-'Assumptions'!$B$80))-C$58,0)</f>
        <v/>
      </c>
      <c r="I85" s="16">
        <f>D69+IF(9='Assumptions'!$B$25,IF(I$73&lt;=0,0,MAX(0,'Returns'!$B$6)/I$73*(1-'Assumptions'!$B$80))-D$58,0)</f>
        <v/>
      </c>
      <c r="J85" s="16">
        <f>E69+IF(9='Assumptions'!$B$25,IF(J$73&lt;=0,0,MAX(0,'Returns'!$B$6)/J$73*(1-'Assumptions'!$B$80))-E$58,0)</f>
        <v/>
      </c>
      <c r="K85" s="16">
        <f>F69+IF(9='Assumptions'!$B$25,IF(K$73&lt;=0,0,MAX(0,'Returns'!$B$6)/K$73*(1-'Assumptions'!$B$80))-F$58,0)</f>
        <v/>
      </c>
      <c r="L85" s="16">
        <f>B69+IF(9='Assumptions'!$B$25,IF(L$73&lt;=0,0,MAX(0,'Returns'!$B$6)/L$73*(1-'Assumptions'!$B$80))-B$58,0)</f>
        <v/>
      </c>
      <c r="M85" s="16">
        <f>C69+IF(9='Assumptions'!$B$25,IF(M$73&lt;=0,0,MAX(0,'Returns'!$B$6)/M$73*(1-'Assumptions'!$B$80))-C$58,0)</f>
        <v/>
      </c>
      <c r="N85" s="16">
        <f>D69+IF(9='Assumptions'!$B$25,IF(N$73&lt;=0,0,MAX(0,'Returns'!$B$6)/N$73*(1-'Assumptions'!$B$80))-D$58,0)</f>
        <v/>
      </c>
      <c r="O85" s="16">
        <f>E69+IF(9='Assumptions'!$B$25,IF(O$73&lt;=0,0,MAX(0,'Returns'!$B$6)/O$73*(1-'Assumptions'!$B$80))-E$58,0)</f>
        <v/>
      </c>
      <c r="P85" s="16">
        <f>F69+IF(9='Assumptions'!$B$25,IF(P$73&lt;=0,0,MAX(0,'Returns'!$B$6)/P$73*(1-'Assumptions'!$B$80))-F$58,0)</f>
        <v/>
      </c>
      <c r="Q85" s="16">
        <f>B69+IF(9='Assumptions'!$B$25,IF(Q$73&lt;=0,0,MAX(0,'Returns'!$B$6)/Q$73*(1-'Assumptions'!$B$80))-B$58,0)</f>
        <v/>
      </c>
      <c r="R85" s="16">
        <f>C69+IF(9='Assumptions'!$B$25,IF(R$73&lt;=0,0,MAX(0,'Returns'!$B$6)/R$73*(1-'Assumptions'!$B$80))-C$58,0)</f>
        <v/>
      </c>
      <c r="S85" s="16">
        <f>D69+IF(9='Assumptions'!$B$25,IF(S$73&lt;=0,0,MAX(0,'Returns'!$B$6)/S$73*(1-'Assumptions'!$B$80))-D$58,0)</f>
        <v/>
      </c>
      <c r="T85" s="16">
        <f>E69+IF(9='Assumptions'!$B$25,IF(T$73&lt;=0,0,MAX(0,'Returns'!$B$6)/T$73*(1-'Assumptions'!$B$80))-E$58,0)</f>
        <v/>
      </c>
      <c r="U85" s="16">
        <f>F69+IF(9='Assumptions'!$B$25,IF(U$73&lt;=0,0,MAX(0,'Returns'!$B$6)/U$73*(1-'Assumptions'!$B$80))-F$58,0)</f>
        <v/>
      </c>
      <c r="V85" s="16">
        <f>B69+IF(9='Assumptions'!$B$25,IF(V$73&lt;=0,0,MAX(0,'Returns'!$B$6)/V$73*(1-'Assumptions'!$B$80))-B$58,0)</f>
        <v/>
      </c>
      <c r="W85" s="16">
        <f>C69+IF(9='Assumptions'!$B$25,IF(W$73&lt;=0,0,MAX(0,'Returns'!$B$6)/W$73*(1-'Assumptions'!$B$80))-C$58,0)</f>
        <v/>
      </c>
      <c r="X85" s="16">
        <f>D69+IF(9='Assumptions'!$B$25,IF(X$73&lt;=0,0,MAX(0,'Returns'!$B$6)/X$73*(1-'Assumptions'!$B$80))-D$58,0)</f>
        <v/>
      </c>
      <c r="Y85" s="16">
        <f>E69+IF(9='Assumptions'!$B$25,IF(Y$73&lt;=0,0,MAX(0,'Returns'!$B$6)/Y$73*(1-'Assumptions'!$B$80))-E$58,0)</f>
        <v/>
      </c>
      <c r="Z85" s="16">
        <f>F69+IF(9='Assumptions'!$B$25,IF(Z$73&lt;=0,0,MAX(0,'Returns'!$B$6)/Z$73*(1-'Assumptions'!$B$80))-F$58,0)</f>
        <v/>
      </c>
    </row>
    <row r="86">
      <c r="A86" s="4" t="inlineStr">
        <is>
          <t>Levered cash flow year 10</t>
        </is>
      </c>
      <c r="B86" s="16">
        <f>B70+IF(10='Assumptions'!$B$25,IF(B$73&lt;=0,0,MAX(0,'Returns'!$B$6)/B$73*(1-'Assumptions'!$B$80))-B$58,0)</f>
        <v/>
      </c>
      <c r="C86" s="16">
        <f>C70+IF(10='Assumptions'!$B$25,IF(C$73&lt;=0,0,MAX(0,'Returns'!$B$6)/C$73*(1-'Assumptions'!$B$80))-C$58,0)</f>
        <v/>
      </c>
      <c r="D86" s="16">
        <f>D70+IF(10='Assumptions'!$B$25,IF(D$73&lt;=0,0,MAX(0,'Returns'!$B$6)/D$73*(1-'Assumptions'!$B$80))-D$58,0)</f>
        <v/>
      </c>
      <c r="E86" s="16">
        <f>E70+IF(10='Assumptions'!$B$25,IF(E$73&lt;=0,0,MAX(0,'Returns'!$B$6)/E$73*(1-'Assumptions'!$B$80))-E$58,0)</f>
        <v/>
      </c>
      <c r="F86" s="16">
        <f>F70+IF(10='Assumptions'!$B$25,IF(F$73&lt;=0,0,MAX(0,'Returns'!$B$6)/F$73*(1-'Assumptions'!$B$80))-F$58,0)</f>
        <v/>
      </c>
      <c r="G86" s="16">
        <f>B70+IF(10='Assumptions'!$B$25,IF(G$73&lt;=0,0,MAX(0,'Returns'!$B$6)/G$73*(1-'Assumptions'!$B$80))-B$58,0)</f>
        <v/>
      </c>
      <c r="H86" s="16">
        <f>C70+IF(10='Assumptions'!$B$25,IF(H$73&lt;=0,0,MAX(0,'Returns'!$B$6)/H$73*(1-'Assumptions'!$B$80))-C$58,0)</f>
        <v/>
      </c>
      <c r="I86" s="16">
        <f>D70+IF(10='Assumptions'!$B$25,IF(I$73&lt;=0,0,MAX(0,'Returns'!$B$6)/I$73*(1-'Assumptions'!$B$80))-D$58,0)</f>
        <v/>
      </c>
      <c r="J86" s="16">
        <f>E70+IF(10='Assumptions'!$B$25,IF(J$73&lt;=0,0,MAX(0,'Returns'!$B$6)/J$73*(1-'Assumptions'!$B$80))-E$58,0)</f>
        <v/>
      </c>
      <c r="K86" s="16">
        <f>F70+IF(10='Assumptions'!$B$25,IF(K$73&lt;=0,0,MAX(0,'Returns'!$B$6)/K$73*(1-'Assumptions'!$B$80))-F$58,0)</f>
        <v/>
      </c>
      <c r="L86" s="16">
        <f>B70+IF(10='Assumptions'!$B$25,IF(L$73&lt;=0,0,MAX(0,'Returns'!$B$6)/L$73*(1-'Assumptions'!$B$80))-B$58,0)</f>
        <v/>
      </c>
      <c r="M86" s="16">
        <f>C70+IF(10='Assumptions'!$B$25,IF(M$73&lt;=0,0,MAX(0,'Returns'!$B$6)/M$73*(1-'Assumptions'!$B$80))-C$58,0)</f>
        <v/>
      </c>
      <c r="N86" s="16">
        <f>D70+IF(10='Assumptions'!$B$25,IF(N$73&lt;=0,0,MAX(0,'Returns'!$B$6)/N$73*(1-'Assumptions'!$B$80))-D$58,0)</f>
        <v/>
      </c>
      <c r="O86" s="16">
        <f>E70+IF(10='Assumptions'!$B$25,IF(O$73&lt;=0,0,MAX(0,'Returns'!$B$6)/O$73*(1-'Assumptions'!$B$80))-E$58,0)</f>
        <v/>
      </c>
      <c r="P86" s="16">
        <f>F70+IF(10='Assumptions'!$B$25,IF(P$73&lt;=0,0,MAX(0,'Returns'!$B$6)/P$73*(1-'Assumptions'!$B$80))-F$58,0)</f>
        <v/>
      </c>
      <c r="Q86" s="16">
        <f>B70+IF(10='Assumptions'!$B$25,IF(Q$73&lt;=0,0,MAX(0,'Returns'!$B$6)/Q$73*(1-'Assumptions'!$B$80))-B$58,0)</f>
        <v/>
      </c>
      <c r="R86" s="16">
        <f>C70+IF(10='Assumptions'!$B$25,IF(R$73&lt;=0,0,MAX(0,'Returns'!$B$6)/R$73*(1-'Assumptions'!$B$80))-C$58,0)</f>
        <v/>
      </c>
      <c r="S86" s="16">
        <f>D70+IF(10='Assumptions'!$B$25,IF(S$73&lt;=0,0,MAX(0,'Returns'!$B$6)/S$73*(1-'Assumptions'!$B$80))-D$58,0)</f>
        <v/>
      </c>
      <c r="T86" s="16">
        <f>E70+IF(10='Assumptions'!$B$25,IF(T$73&lt;=0,0,MAX(0,'Returns'!$B$6)/T$73*(1-'Assumptions'!$B$80))-E$58,0)</f>
        <v/>
      </c>
      <c r="U86" s="16">
        <f>F70+IF(10='Assumptions'!$B$25,IF(U$73&lt;=0,0,MAX(0,'Returns'!$B$6)/U$73*(1-'Assumptions'!$B$80))-F$58,0)</f>
        <v/>
      </c>
      <c r="V86" s="16">
        <f>B70+IF(10='Assumptions'!$B$25,IF(V$73&lt;=0,0,MAX(0,'Returns'!$B$6)/V$73*(1-'Assumptions'!$B$80))-B$58,0)</f>
        <v/>
      </c>
      <c r="W86" s="16">
        <f>C70+IF(10='Assumptions'!$B$25,IF(W$73&lt;=0,0,MAX(0,'Returns'!$B$6)/W$73*(1-'Assumptions'!$B$80))-C$58,0)</f>
        <v/>
      </c>
      <c r="X86" s="16">
        <f>D70+IF(10='Assumptions'!$B$25,IF(X$73&lt;=0,0,MAX(0,'Returns'!$B$6)/X$73*(1-'Assumptions'!$B$80))-D$58,0)</f>
        <v/>
      </c>
      <c r="Y86" s="16">
        <f>E70+IF(10='Assumptions'!$B$25,IF(Y$73&lt;=0,0,MAX(0,'Returns'!$B$6)/Y$73*(1-'Assumptions'!$B$80))-E$58,0)</f>
        <v/>
      </c>
      <c r="Z86" s="16">
        <f>F70+IF(10='Assumptions'!$B$25,IF(Z$73&lt;=0,0,MAX(0,'Returns'!$B$6)/Z$73*(1-'Assumptions'!$B$80))-F$58,0)</f>
        <v/>
      </c>
    </row>
    <row r="88">
      <c r="A88" s="10" t="inlineStr">
        <is>
          <t>Levered IRR</t>
        </is>
      </c>
      <c r="B88" s="66">
        <f>IFERROR(IRR(B76:B86),0)</f>
        <v/>
      </c>
      <c r="C88" s="66">
        <f>IFERROR(IRR(C76:C86),0)</f>
        <v/>
      </c>
      <c r="D88" s="66">
        <f>IFERROR(IRR(D76:D86),0)</f>
        <v/>
      </c>
      <c r="E88" s="66">
        <f>IFERROR(IRR(E76:E86),0)</f>
        <v/>
      </c>
      <c r="F88" s="66">
        <f>IFERROR(IRR(F76:F86),0)</f>
        <v/>
      </c>
      <c r="G88" s="66">
        <f>IFERROR(IRR(G76:G86),0)</f>
        <v/>
      </c>
      <c r="H88" s="66">
        <f>IFERROR(IRR(H76:H86),0)</f>
        <v/>
      </c>
      <c r="I88" s="66">
        <f>IFERROR(IRR(I76:I86),0)</f>
        <v/>
      </c>
      <c r="J88" s="66">
        <f>IFERROR(IRR(J76:J86),0)</f>
        <v/>
      </c>
      <c r="K88" s="66">
        <f>IFERROR(IRR(K76:K86),0)</f>
        <v/>
      </c>
      <c r="L88" s="66">
        <f>IFERROR(IRR(L76:L86),0)</f>
        <v/>
      </c>
      <c r="M88" s="66">
        <f>IFERROR(IRR(M76:M86),0)</f>
        <v/>
      </c>
      <c r="N88" s="66">
        <f>IFERROR(IRR(N76:N86),0)</f>
        <v/>
      </c>
      <c r="O88" s="66">
        <f>IFERROR(IRR(O76:O86),0)</f>
        <v/>
      </c>
      <c r="P88" s="66">
        <f>IFERROR(IRR(P76:P86),0)</f>
        <v/>
      </c>
      <c r="Q88" s="66">
        <f>IFERROR(IRR(Q76:Q86),0)</f>
        <v/>
      </c>
      <c r="R88" s="66">
        <f>IFERROR(IRR(R76:R86),0)</f>
        <v/>
      </c>
      <c r="S88" s="66">
        <f>IFERROR(IRR(S76:S86),0)</f>
        <v/>
      </c>
      <c r="T88" s="66">
        <f>IFERROR(IRR(T76:T86),0)</f>
        <v/>
      </c>
      <c r="U88" s="66">
        <f>IFERROR(IRR(U76:U86),0)</f>
        <v/>
      </c>
      <c r="V88" s="66">
        <f>IFERROR(IRR(V76:V86),0)</f>
        <v/>
      </c>
      <c r="W88" s="66">
        <f>IFERROR(IRR(W76:W86),0)</f>
        <v/>
      </c>
      <c r="X88" s="66">
        <f>IFERROR(IRR(X76:X86),0)</f>
        <v/>
      </c>
      <c r="Y88" s="66">
        <f>IFERROR(IRR(Y76:Y86),0)</f>
        <v/>
      </c>
      <c r="Z88" s="66">
        <f>IFERROR(IRR(Z76:Z86),0)</f>
        <v/>
      </c>
    </row>
    <row r="89">
      <c r="A89" s="10" t="inlineStr">
        <is>
          <t>Levered equity multiple</t>
        </is>
      </c>
      <c r="B89" s="68">
        <f>IF(SUMIF(B76:B86,"&lt;0")=0,0,SUMIF(B76:B86,"&gt;0")/-SUMIF(B76:B86,"&lt;0"))</f>
        <v/>
      </c>
      <c r="C89" s="68">
        <f>IF(SUMIF(C76:C86,"&lt;0")=0,0,SUMIF(C76:C86,"&gt;0")/-SUMIF(C76:C86,"&lt;0"))</f>
        <v/>
      </c>
      <c r="D89" s="68">
        <f>IF(SUMIF(D76:D86,"&lt;0")=0,0,SUMIF(D76:D86,"&gt;0")/-SUMIF(D76:D86,"&lt;0"))</f>
        <v/>
      </c>
      <c r="E89" s="68">
        <f>IF(SUMIF(E76:E86,"&lt;0")=0,0,SUMIF(E76:E86,"&gt;0")/-SUMIF(E76:E86,"&lt;0"))</f>
        <v/>
      </c>
      <c r="F89" s="68">
        <f>IF(SUMIF(F76:F86,"&lt;0")=0,0,SUMIF(F76:F86,"&gt;0")/-SUMIF(F76:F86,"&lt;0"))</f>
        <v/>
      </c>
      <c r="G89" s="68">
        <f>IF(SUMIF(G76:G86,"&lt;0")=0,0,SUMIF(G76:G86,"&gt;0")/-SUMIF(G76:G86,"&lt;0"))</f>
        <v/>
      </c>
      <c r="H89" s="68">
        <f>IF(SUMIF(H76:H86,"&lt;0")=0,0,SUMIF(H76:H86,"&gt;0")/-SUMIF(H76:H86,"&lt;0"))</f>
        <v/>
      </c>
      <c r="I89" s="68">
        <f>IF(SUMIF(I76:I86,"&lt;0")=0,0,SUMIF(I76:I86,"&gt;0")/-SUMIF(I76:I86,"&lt;0"))</f>
        <v/>
      </c>
      <c r="J89" s="68">
        <f>IF(SUMIF(J76:J86,"&lt;0")=0,0,SUMIF(J76:J86,"&gt;0")/-SUMIF(J76:J86,"&lt;0"))</f>
        <v/>
      </c>
      <c r="K89" s="68">
        <f>IF(SUMIF(K76:K86,"&lt;0")=0,0,SUMIF(K76:K86,"&gt;0")/-SUMIF(K76:K86,"&lt;0"))</f>
        <v/>
      </c>
      <c r="L89" s="68">
        <f>IF(SUMIF(L76:L86,"&lt;0")=0,0,SUMIF(L76:L86,"&gt;0")/-SUMIF(L76:L86,"&lt;0"))</f>
        <v/>
      </c>
      <c r="M89" s="68">
        <f>IF(SUMIF(M76:M86,"&lt;0")=0,0,SUMIF(M76:M86,"&gt;0")/-SUMIF(M76:M86,"&lt;0"))</f>
        <v/>
      </c>
      <c r="N89" s="68">
        <f>IF(SUMIF(N76:N86,"&lt;0")=0,0,SUMIF(N76:N86,"&gt;0")/-SUMIF(N76:N86,"&lt;0"))</f>
        <v/>
      </c>
      <c r="O89" s="68">
        <f>IF(SUMIF(O76:O86,"&lt;0")=0,0,SUMIF(O76:O86,"&gt;0")/-SUMIF(O76:O86,"&lt;0"))</f>
        <v/>
      </c>
      <c r="P89" s="68">
        <f>IF(SUMIF(P76:P86,"&lt;0")=0,0,SUMIF(P76:P86,"&gt;0")/-SUMIF(P76:P86,"&lt;0"))</f>
        <v/>
      </c>
      <c r="Q89" s="68">
        <f>IF(SUMIF(Q76:Q86,"&lt;0")=0,0,SUMIF(Q76:Q86,"&gt;0")/-SUMIF(Q76:Q86,"&lt;0"))</f>
        <v/>
      </c>
      <c r="R89" s="68">
        <f>IF(SUMIF(R76:R86,"&lt;0")=0,0,SUMIF(R76:R86,"&gt;0")/-SUMIF(R76:R86,"&lt;0"))</f>
        <v/>
      </c>
      <c r="S89" s="68">
        <f>IF(SUMIF(S76:S86,"&lt;0")=0,0,SUMIF(S76:S86,"&gt;0")/-SUMIF(S76:S86,"&lt;0"))</f>
        <v/>
      </c>
      <c r="T89" s="68">
        <f>IF(SUMIF(T76:T86,"&lt;0")=0,0,SUMIF(T76:T86,"&gt;0")/-SUMIF(T76:T86,"&lt;0"))</f>
        <v/>
      </c>
      <c r="U89" s="68">
        <f>IF(SUMIF(U76:U86,"&lt;0")=0,0,SUMIF(U76:U86,"&gt;0")/-SUMIF(U76:U86,"&lt;0"))</f>
        <v/>
      </c>
      <c r="V89" s="68">
        <f>IF(SUMIF(V76:V86,"&lt;0")=0,0,SUMIF(V76:V86,"&gt;0")/-SUMIF(V76:V86,"&lt;0"))</f>
        <v/>
      </c>
      <c r="W89" s="68">
        <f>IF(SUMIF(W76:W86,"&lt;0")=0,0,SUMIF(W76:W86,"&gt;0")/-SUMIF(W76:W86,"&lt;0"))</f>
        <v/>
      </c>
      <c r="X89" s="68">
        <f>IF(SUMIF(X76:X86,"&lt;0")=0,0,SUMIF(X76:X86,"&gt;0")/-SUMIF(X76:X86,"&lt;0"))</f>
        <v/>
      </c>
      <c r="Y89" s="68">
        <f>IF(SUMIF(Y76:Y86,"&lt;0")=0,0,SUMIF(Y76:Y86,"&gt;0")/-SUMIF(Y76:Y86,"&lt;0"))</f>
        <v/>
      </c>
      <c r="Z89" s="68">
        <f>IF(SUMIF(Z76:Z86,"&lt;0")=0,0,SUMIF(Z76:Z86,"&gt;0")/-SUMIF(Z76:Z86,"&lt;0"))</f>
        <v/>
      </c>
    </row>
    <row r="91">
      <c r="A91" s="4" t="inlineStr">
        <is>
          <t>Block 1 rescales every revenue line by the ratio of growth factors, which is exact because the whole revenue stack is proportional to the rent growth factor. Block 2 scales debt service and balance by the ratio of loan amounts, which is exact because both are linear in principal at a fixed rate and term.</t>
        </is>
      </c>
    </row>
  </sheetData>
  <pageMargins left="0.4" right="0.4" top="0.5" bottom="0.5" header="0.5" footer="0.5"/>
  <pageSetup orientation="landscape"/>
  <headerFooter>
    <oddHeader/>
    <oddFooter>&amp;L&amp;8 &amp;K808080Altyst multifamily underwriting model&amp;R&amp;8 &amp;K808080Page &amp;P of &amp;N</oddFooter>
    <evenHeader/>
    <evenFooter/>
    <firstHeader/>
    <firstFooter/>
  </headerFooter>
</worksheet>
</file>

<file path=xl/worksheets/sheet11.xml><?xml version="1.0" encoding="utf-8"?>
<worksheet xmlns="http://schemas.openxmlformats.org/spreadsheetml/2006/main">
  <sheetPr>
    <outlinePr summaryBelow="1" summaryRight="1"/>
    <pageSetUpPr fitToPage="1"/>
  </sheetPr>
  <dimension ref="A1:D28"/>
  <sheetViews>
    <sheetView showGridLines="0" workbookViewId="0">
      <pane ySplit="4" topLeftCell="A5" activePane="bottomLeft" state="frozen"/>
      <selection pane="bottomLeft" activeCell="A1" sqref="A1"/>
    </sheetView>
  </sheetViews>
  <sheetFormatPr baseColWidth="8" defaultRowHeight="15"/>
  <cols>
    <col width="58" customWidth="1" min="1" max="1"/>
    <col width="20" customWidth="1" min="2" max="2"/>
    <col width="14" customWidth="1" min="3" max="3"/>
    <col width="62" customWidth="1" min="4" max="4"/>
  </cols>
  <sheetData>
    <row r="1">
      <c r="A1" s="1" t="inlineStr">
        <is>
          <t>Model Checks</t>
        </is>
      </c>
    </row>
    <row r="2">
      <c r="A2" s="2" t="inlineStr">
        <is>
          <t>Run these before you send the model to anyone.</t>
        </is>
      </c>
    </row>
    <row r="3">
      <c r="A3" s="7" t="n"/>
      <c r="B3" s="7" t="n"/>
      <c r="C3" s="7" t="n"/>
      <c r="D3" s="7" t="n"/>
    </row>
    <row r="4">
      <c r="A4" s="29" t="inlineStr">
        <is>
          <t>Check</t>
        </is>
      </c>
      <c r="B4" s="30" t="inlineStr">
        <is>
          <t>Value</t>
        </is>
      </c>
      <c r="C4" s="30" t="inlineStr">
        <is>
          <t>Status</t>
        </is>
      </c>
      <c r="D4" s="30" t="inlineStr">
        <is>
          <t>What it means</t>
        </is>
      </c>
    </row>
    <row r="5" ht="28" customHeight="1">
      <c r="A5" s="86" t="inlineStr">
        <is>
          <t>Sources less uses</t>
        </is>
      </c>
      <c r="B5" s="35">
        <f>'Sources and Uses'!B20</f>
        <v/>
      </c>
      <c r="C5" s="87">
        <f>IF(ABS(B5)&lt;1,"OK","Check")</f>
        <v/>
      </c>
      <c r="D5" s="88" t="inlineStr">
        <is>
          <t>Must be zero. Equity is the plug, so a non-zero value means a link is broken.</t>
        </is>
      </c>
    </row>
    <row r="6" ht="28" customHeight="1">
      <c r="A6" s="86" t="inlineStr">
        <is>
          <t>Levered year-zero cash flow plus sponsor equity</t>
        </is>
      </c>
      <c r="B6" s="35">
        <f>'Returns'!H17+'Sources and Uses'!B17</f>
        <v/>
      </c>
      <c r="C6" s="87">
        <f>IF(ABS(B6)&lt;1,"OK","Check")</f>
        <v/>
      </c>
      <c r="D6" s="88" t="inlineStr">
        <is>
          <t>The levered vector must start at exactly minus the equity cheque.</t>
        </is>
      </c>
    </row>
    <row r="7" ht="28" customHeight="1">
      <c r="A7" s="86" t="inlineStr">
        <is>
          <t>Year-1 NOI recomputed from EGI less total operating expenses</t>
        </is>
      </c>
      <c r="B7" s="35">
        <f>'Pro Forma'!B29-'Pro Forma'!B44-'Pro Forma'!B46</f>
        <v/>
      </c>
      <c r="C7" s="87">
        <f>IF(ABS(B7)&lt;1,"OK","Check")</f>
        <v/>
      </c>
      <c r="D7" s="88" t="inlineStr">
        <is>
          <t>Proves the income stack and the expense stack meet at the NOI line.</t>
        </is>
      </c>
    </row>
    <row r="8" ht="28" customHeight="1">
      <c r="A8" s="86" t="inlineStr">
        <is>
          <t>Renovation schedule less units to renovate</t>
        </is>
      </c>
      <c r="B8" s="33">
        <f>'Pro Forma'!K12-'Assumptions'!B57</f>
        <v/>
      </c>
      <c r="C8" s="87">
        <f>IF(B8=0,"OK","Check")</f>
        <v/>
      </c>
      <c r="D8" s="88" t="inlineStr">
        <is>
          <t>The year-by-year schedule on the Pro Forma must sum to the total on Assumptions.</t>
        </is>
      </c>
    </row>
    <row r="9" ht="28" customHeight="1">
      <c r="A9" s="86" t="inlineStr">
        <is>
          <t>Units renovated less total units</t>
        </is>
      </c>
      <c r="B9" s="33">
        <f>'Assumptions'!B57-'Assumptions'!B10</f>
        <v/>
      </c>
      <c r="C9" s="87">
        <f>IF(B9&lt;=0,"OK","Check")</f>
        <v/>
      </c>
      <c r="D9" s="88" t="inlineStr">
        <is>
          <t>You cannot renovate more units than you own.</t>
        </is>
      </c>
    </row>
    <row r="10" ht="28" customHeight="1">
      <c r="A10" s="86" t="inlineStr">
        <is>
          <t>Loss-to-lease capture below the minimum implied by renovation (years)</t>
        </is>
      </c>
      <c r="B10" s="33">
        <f>IF('Pro Forma'!B15&lt;'Pro Forma'!B14-0.0001,1,0)+IF('Pro Forma'!C15&lt;'Pro Forma'!C14-0.0001,1,0)+IF('Pro Forma'!D15&lt;'Pro Forma'!D14-0.0001,1,0)+IF('Pro Forma'!E15&lt;'Pro Forma'!E14-0.0001,1,0)+IF('Pro Forma'!F15&lt;'Pro Forma'!F14-0.0001,1,0)+IF('Pro Forma'!G15&lt;'Pro Forma'!G14-0.0001,1,0)+IF('Pro Forma'!H15&lt;'Pro Forma'!H14-0.0001,1,0)+IF('Pro Forma'!I15&lt;'Pro Forma'!I14-0.0001,1,0)+IF('Pro Forma'!J15&lt;'Pro Forma'!J14-0.0001,1,0)+IF('Pro Forma'!K15&lt;'Pro Forma'!K14-0.0001,1,0)</f>
        <v/>
      </c>
      <c r="C10" s="87">
        <f>IF(B10=0,"OK","Check")</f>
        <v/>
      </c>
      <c r="D10" s="88" t="inlineStr">
        <is>
          <t>Renovated units are already at market, so capture below the implied minimum double counts the rent.</t>
        </is>
      </c>
    </row>
    <row r="11" ht="28" customHeight="1">
      <c r="A11" s="86" t="inlineStr">
        <is>
          <t>Stabilized operating expense ratio</t>
        </is>
      </c>
      <c r="B11" s="36">
        <f>'Pro Forma'!F48</f>
        <v/>
      </c>
      <c r="C11" s="87">
        <f>IF(AND(B11&gt;0.25,B11&lt;0.7),"OK","Check")</f>
        <v/>
      </c>
      <c r="D11" s="88" t="inlineStr">
        <is>
          <t>Below 25 percent or above 70 percent of EGI is almost always a mis-stated expense, not a great deal.</t>
        </is>
      </c>
    </row>
    <row r="12" ht="28" customHeight="1">
      <c r="A12" s="86" t="inlineStr">
        <is>
          <t>Minimum DSCR over the hold</t>
        </is>
      </c>
      <c r="B12" s="89">
        <f>'Returns'!B45</f>
        <v/>
      </c>
      <c r="C12" s="87">
        <f>IF(OR('Debt'!B17=0,B12&gt;=1),"OK","Check")</f>
        <v/>
      </c>
      <c r="D12" s="88" t="inlineStr">
        <is>
          <t>Below 1.00 the property does not cover its own debt service in at least one year.</t>
        </is>
      </c>
    </row>
    <row r="13" ht="28" customHeight="1">
      <c r="A13" s="86" t="inlineStr">
        <is>
          <t>Going-in debt yield</t>
        </is>
      </c>
      <c r="B13" s="90">
        <f>'Debt'!B22</f>
        <v/>
      </c>
      <c r="C13" s="87">
        <f>IF(OR('Debt'!B17=0,B13&gt;=0.07),"OK","Check")</f>
        <v/>
      </c>
      <c r="D13" s="88" t="inlineStr">
        <is>
          <t>Under about 7 percent most lenders will not fund the loan the model has sized.</t>
        </is>
      </c>
    </row>
    <row r="14" ht="28" customHeight="1">
      <c r="A14" s="86" t="inlineStr">
        <is>
          <t>Hold period less loan term</t>
        </is>
      </c>
      <c r="B14" s="33">
        <f>'Assumptions'!B25-'Assumptions'!B68</f>
        <v/>
      </c>
      <c r="C14" s="87">
        <f>IF(OR('Debt'!B17=0,B14&lt;=0),"OK","Check")</f>
        <v/>
      </c>
      <c r="D14" s="88" t="inlineStr">
        <is>
          <t>You are modelling a sale after the loan matures. Either shorten the hold or model a refinance.</t>
        </is>
      </c>
    </row>
    <row r="15" ht="28" customHeight="1">
      <c r="A15" s="86" t="inlineStr">
        <is>
          <t>Interest-only months less amortization months</t>
        </is>
      </c>
      <c r="B15" s="33">
        <f>'Assumptions'!B67-'Assumptions'!B66*12</f>
        <v/>
      </c>
      <c r="C15" s="87">
        <f>IF(B15&lt;0,"OK","Check")</f>
        <v/>
      </c>
      <c r="D15" s="88" t="inlineStr">
        <is>
          <t>The interest-only period has to be shorter than the amortization term.</t>
        </is>
      </c>
    </row>
    <row r="16" ht="28" customHeight="1">
      <c r="A16" s="86" t="inlineStr">
        <is>
          <t>Exit cap rate is greater than zero</t>
        </is>
      </c>
      <c r="B16" s="90">
        <f>'Assumptions'!B79</f>
        <v/>
      </c>
      <c r="C16" s="87">
        <f>IF(B16&gt;0,"OK","Check")</f>
        <v/>
      </c>
      <c r="D16" s="88" t="inlineStr">
        <is>
          <t>At zero or below there is no cap rate to capitalize the forward NOI with. The model values the sale at zero, so every levered return, the equity multiple and both price grids are wrong until you fix it.</t>
        </is>
      </c>
    </row>
    <row r="17" ht="28" customHeight="1">
      <c r="A17" s="86" t="inlineStr">
        <is>
          <t>Hold period is a whole number of years from 1 to 10</t>
        </is>
      </c>
      <c r="B17" s="33">
        <f>'Assumptions'!B25</f>
        <v/>
      </c>
      <c r="C17" s="87">
        <f>IF(AND(B17&gt;=1,B17&lt;=10,B17=INT(B17)),"OK","Check")</f>
        <v/>
      </c>
      <c r="D17" s="88" t="inlineStr">
        <is>
          <t>Outside that range no year is flagged as the sale year, so the model never books an exit and reports a zero IRR and a zero equity multiple on a deal it has not actually sold.</t>
        </is>
      </c>
    </row>
    <row r="18" ht="28" customHeight="1">
      <c r="A18" s="86" t="inlineStr">
        <is>
          <t>Exit cap less going-in cap</t>
        </is>
      </c>
      <c r="B18" s="91">
        <f>('Assumptions'!B79-'Returns'!B41)*10000</f>
        <v/>
      </c>
      <c r="C18" s="87">
        <f>IF(B18&gt;=0,"OK","Check")</f>
        <v/>
      </c>
      <c r="D18" s="88" t="inlineStr">
        <is>
          <t>Exiting tighter than you bought is a market call. Make it deliberately.</t>
        </is>
      </c>
    </row>
    <row r="19" ht="28" customHeight="1">
      <c r="A19" s="86" t="inlineStr">
        <is>
          <t>Sensitivity centre cell less the Returns IRR</t>
        </is>
      </c>
      <c r="B19" s="90">
        <f>'Sens Calc'!N88-'Returns'!B32</f>
        <v/>
      </c>
      <c r="C19" s="87">
        <f>IF(ABS(B19)&lt;0.00005,"OK","Check")</f>
        <v/>
      </c>
      <c r="D19" s="88" t="inlineStr">
        <is>
          <t>The middle of the price grid must reproduce the base case to the basis point.</t>
        </is>
      </c>
    </row>
    <row r="20" ht="28" customHeight="1">
      <c r="A20" s="86" t="inlineStr">
        <is>
          <t>Rent growth grid centre cell less the Returns IRR</t>
        </is>
      </c>
      <c r="B20" s="90">
        <f>'Sens Calc'!N47-'Returns'!B32</f>
        <v/>
      </c>
      <c r="C20" s="87">
        <f>IF(ABS(B20)&lt;0.00005,"OK","Check")</f>
        <v/>
      </c>
      <c r="D20" s="88" t="inlineStr">
        <is>
          <t>Same test on the growth grid. It is the strongest single proof that the model is internally consistent.</t>
        </is>
      </c>
    </row>
    <row r="21" ht="28" customHeight="1">
      <c r="A21" s="86" t="inlineStr">
        <is>
          <t>Underwritten expenses per unit</t>
        </is>
      </c>
      <c r="B21" s="35">
        <f>'Assumptions'!B54</f>
        <v/>
      </c>
      <c r="C21" s="87">
        <f>IF(AND(B21&gt;3000,B21&lt;12000),"OK","Check")</f>
        <v/>
      </c>
      <c r="D21" s="88" t="inlineStr">
        <is>
          <t>Outside roughly 3,000 to 12,000 dollars per unit per year for conventional multifamily, check the magnitude.</t>
        </is>
      </c>
    </row>
    <row r="22" ht="28" customHeight="1">
      <c r="A22" s="86" t="inlineStr">
        <is>
          <t>Trailing EGI less underwritten year-1 EGI</t>
        </is>
      </c>
      <c r="B22" s="35">
        <f>'T12'!F11-'Pro Forma'!B29</f>
        <v/>
      </c>
      <c r="C22" s="87">
        <f>IF(ABS(B22)&lt;'Pro Forma'!B29*0.15,"OK","Check")</f>
        <v/>
      </c>
      <c r="D22" s="88" t="inlineStr">
        <is>
          <t>A year-one EGI more than 15 percent away from the trailing actuals needs a reason you can defend.</t>
        </is>
      </c>
    </row>
    <row r="23" ht="28" customHeight="1">
      <c r="A23" s="86" t="inlineStr">
        <is>
          <t>Real estate tax variance to the reassessment estimate</t>
        </is>
      </c>
      <c r="B23" s="35">
        <f>'T12'!B38</f>
        <v/>
      </c>
      <c r="C23" s="87">
        <f>IF(ABS(B23)&lt;'T12'!B36*0.1,"OK","Check")</f>
        <v/>
      </c>
      <c r="D23" s="88" t="inlineStr">
        <is>
          <t>If your jurisdiction reassesses on transfer, the seller's trailing tax line is the wrong number to underwrite. Confirm the local rule before you rely on either figure.</t>
        </is>
      </c>
    </row>
    <row r="25">
      <c r="A25" s="4" t="inlineStr">
        <is>
          <t>OK means the test passed on the numbers currently in the model. Check means look at it. None of these are opinions about whether the deal is good.</t>
        </is>
      </c>
    </row>
    <row r="27">
      <c r="A27" s="3" t="inlineStr">
        <is>
          <t>Altyst</t>
        </is>
      </c>
    </row>
    <row r="28">
      <c r="A28" s="4" t="inlineStr">
        <is>
          <t>Altyst produces model outputs for screening and analysis. It is not investment, legal, tax, appraisal, or brokerage advice, and it does not guarantee accuracy or returns.</t>
        </is>
      </c>
    </row>
  </sheetData>
  <pageMargins left="0.4" right="0.4" top="0.5" bottom="0.5" header="0.5" footer="0.5"/>
  <pageSetup orientation="landscape" fitToHeight="0" fitToWidth="1"/>
  <headerFooter>
    <oddHeader/>
    <oddFooter>&amp;L&amp;8 &amp;K808080Altyst multifamily underwriting model&amp;R&amp;8 &amp;K808080Page &amp;P of &amp;N</oddFooter>
    <evenHeader/>
    <evenFooter/>
    <firstHeader/>
    <firstFooter/>
  </headerFooter>
</worksheet>
</file>

<file path=xl/worksheets/sheet2.xml><?xml version="1.0" encoding="utf-8"?>
<worksheet xmlns="http://schemas.openxmlformats.org/spreadsheetml/2006/main">
  <sheetPr>
    <tabColor rgb="00B54607"/>
    <outlinePr summaryBelow="1" summaryRight="1"/>
    <pageSetUpPr fitToPage="1"/>
  </sheetPr>
  <dimension ref="A1:F91"/>
  <sheetViews>
    <sheetView showGridLines="0" workbookViewId="0">
      <pane ySplit="3" topLeftCell="A4" activePane="bottomLeft" state="frozen"/>
      <selection pane="bottomLeft" activeCell="A1" sqref="A1"/>
    </sheetView>
  </sheetViews>
  <sheetFormatPr baseColWidth="8" defaultRowHeight="15"/>
  <cols>
    <col width="48" customWidth="1" min="1" max="1"/>
    <col width="16" customWidth="1" min="2" max="2"/>
    <col width="18" customWidth="1" min="3" max="3"/>
    <col width="16" customWidth="1" min="4" max="4"/>
    <col width="52" customWidth="1" min="5" max="5"/>
  </cols>
  <sheetData>
    <row r="1">
      <c r="A1" s="1" t="inlineStr">
        <is>
          <t>Assumptions</t>
        </is>
      </c>
    </row>
    <row r="2">
      <c r="A2" s="2" t="inlineStr">
        <is>
          <t>Orange cells are inputs. Black cells are formulas. Do not type over black.</t>
        </is>
      </c>
    </row>
    <row r="3">
      <c r="A3" s="7" t="n"/>
      <c r="B3" s="7" t="n"/>
      <c r="C3" s="7" t="n"/>
      <c r="D3" s="7" t="n"/>
      <c r="E3" s="7" t="n"/>
      <c r="F3" s="7" t="n"/>
    </row>
    <row r="4">
      <c r="A4" s="8" t="inlineStr">
        <is>
          <t>PROPERTY</t>
        </is>
      </c>
      <c r="B4" s="9" t="n"/>
      <c r="C4" s="9" t="n"/>
      <c r="D4" s="9" t="n"/>
      <c r="E4" s="9" t="n"/>
    </row>
    <row r="5">
      <c r="A5" s="10" t="inlineStr">
        <is>
          <t>Property name</t>
        </is>
      </c>
      <c r="B5" s="11" t="inlineStr">
        <is>
          <t>Example Property (replace with your deal)</t>
        </is>
      </c>
    </row>
    <row r="6">
      <c r="A6" s="10" t="inlineStr">
        <is>
          <t>Street address</t>
        </is>
      </c>
      <c r="B6" s="11" t="inlineStr">
        <is>
          <t>123 Example Street</t>
        </is>
      </c>
    </row>
    <row r="7">
      <c r="A7" s="10" t="inlineStr">
        <is>
          <t>City, state</t>
        </is>
      </c>
      <c r="B7" s="11" t="inlineStr">
        <is>
          <t>Anytown, ST</t>
        </is>
      </c>
    </row>
    <row r="8">
      <c r="A8" s="10" t="inlineStr">
        <is>
          <t>Asset class</t>
        </is>
      </c>
      <c r="B8" s="11" t="inlineStr">
        <is>
          <t>Multifamily</t>
        </is>
      </c>
    </row>
    <row r="9">
      <c r="A9" s="10" t="inlineStr">
        <is>
          <t>Year built</t>
        </is>
      </c>
      <c r="B9" s="12" t="n">
        <v>1998</v>
      </c>
    </row>
    <row r="10">
      <c r="A10" s="10" t="inlineStr">
        <is>
          <t>Number of units</t>
        </is>
      </c>
      <c r="B10" s="13">
        <f>'Rent Roll'!B23</f>
        <v/>
      </c>
      <c r="E10" s="14" t="inlineStr">
        <is>
          <t>From the Rent Roll total.</t>
        </is>
      </c>
    </row>
    <row r="11">
      <c r="A11" s="10" t="inlineStr">
        <is>
          <t>Rentable square feet</t>
        </is>
      </c>
      <c r="B11" s="13">
        <f>'Rent Roll'!B24</f>
        <v/>
      </c>
    </row>
    <row r="12">
      <c r="A12" s="10" t="inlineStr">
        <is>
          <t>Average unit size (SF)</t>
        </is>
      </c>
      <c r="B12" s="13">
        <f>'Rent Roll'!B25</f>
        <v/>
      </c>
    </row>
    <row r="14">
      <c r="A14" s="8" t="inlineStr">
        <is>
          <t>TRANSACTION</t>
        </is>
      </c>
      <c r="B14" s="9" t="n"/>
      <c r="C14" s="9" t="n"/>
      <c r="D14" s="9" t="n"/>
      <c r="E14" s="9" t="n"/>
    </row>
    <row r="15">
      <c r="A15" s="10" t="inlineStr">
        <is>
          <t>Purchase price</t>
        </is>
      </c>
      <c r="B15" s="15" t="n">
        <v>21000000</v>
      </c>
    </row>
    <row r="16">
      <c r="A16" s="10" t="inlineStr">
        <is>
          <t>Price per unit</t>
        </is>
      </c>
      <c r="B16" s="16">
        <f>IF(B10=0,0,B15/B10)</f>
        <v/>
      </c>
    </row>
    <row r="17">
      <c r="A17" s="10" t="inlineStr">
        <is>
          <t>Price per square foot</t>
        </is>
      </c>
      <c r="B17" s="17">
        <f>IF(B11=0,0,B15/B11)</f>
        <v/>
      </c>
    </row>
    <row r="18">
      <c r="A18" s="10" t="inlineStr">
        <is>
          <t>Closing costs (% of price)</t>
        </is>
      </c>
      <c r="B18" s="18" t="n">
        <v>0.0175</v>
      </c>
      <c r="E18" s="14" t="inlineStr">
        <is>
          <t>Title, transfer tax, lender legal, recording.</t>
        </is>
      </c>
    </row>
    <row r="19">
      <c r="A19" s="10" t="inlineStr">
        <is>
          <t>Due diligence, legal and third-party reports</t>
        </is>
      </c>
      <c r="B19" s="15" t="n">
        <v>85000</v>
      </c>
      <c r="E19" s="14" t="inlineStr">
        <is>
          <t>Appraisal, PCA, environmental, survey, unit walks.</t>
        </is>
      </c>
    </row>
    <row r="20">
      <c r="A20" s="10" t="inlineStr">
        <is>
          <t>Immediate repairs and deferred maintenance</t>
        </is>
      </c>
      <c r="B20" s="15" t="n">
        <v>150000</v>
      </c>
      <c r="E20" s="14" t="inlineStr">
        <is>
          <t>Day-one exterior and systems work, separate from the unit renovation budget.</t>
        </is>
      </c>
    </row>
    <row r="21">
      <c r="A21" s="10" t="inlineStr">
        <is>
          <t>Operating and working capital reserve</t>
        </is>
      </c>
      <c r="B21" s="15" t="n">
        <v>250000</v>
      </c>
    </row>
    <row r="22">
      <c r="A22" s="10" t="inlineStr">
        <is>
          <t>Acquisition fee (% of price)</t>
        </is>
      </c>
      <c r="B22" s="18" t="n">
        <v>0.01</v>
      </c>
      <c r="E22" s="14" t="inlineStr">
        <is>
          <t>Set to zero if you do not charge one.</t>
        </is>
      </c>
    </row>
    <row r="24">
      <c r="A24" s="8" t="inlineStr">
        <is>
          <t>HOLD AND GROWTH</t>
        </is>
      </c>
      <c r="B24" s="9" t="n"/>
      <c r="C24" s="9" t="n"/>
      <c r="D24" s="9" t="n"/>
      <c r="E24" s="9" t="n"/>
    </row>
    <row r="25">
      <c r="A25" s="10" t="inlineStr">
        <is>
          <t>Hold period (years, 1 to 10)</t>
        </is>
      </c>
      <c r="B25" s="12" t="n">
        <v>5</v>
      </c>
      <c r="E25" s="14" t="inlineStr">
        <is>
          <t>The model always projects ten years plus a forward year. Everything past the hold is zeroed.</t>
        </is>
      </c>
    </row>
    <row r="26">
      <c r="A26" s="10" t="inlineStr">
        <is>
          <t>Market rent growth (year 2 onward)</t>
        </is>
      </c>
      <c r="B26" s="18" t="n">
        <v>0.03</v>
      </c>
    </row>
    <row r="27">
      <c r="A27" s="10" t="inlineStr">
        <is>
          <t>Other income growth</t>
        </is>
      </c>
      <c r="B27" s="18" t="n">
        <v>0.03</v>
      </c>
    </row>
    <row r="28">
      <c r="A28" s="10" t="inlineStr">
        <is>
          <t>Operating expense growth</t>
        </is>
      </c>
      <c r="B28" s="18" t="n">
        <v>0.0325</v>
      </c>
      <c r="E28" s="14" t="inlineStr">
        <is>
          <t>Insurance and taxes have outrun general inflation in most markets. Do not set this equal to rent growth by reflex.</t>
        </is>
      </c>
    </row>
    <row r="30">
      <c r="A30" s="8" t="inlineStr">
        <is>
          <t>VACANCY AND COLLECTIONS</t>
        </is>
      </c>
      <c r="B30" s="9" t="n"/>
      <c r="C30" s="9" t="n"/>
      <c r="D30" s="9" t="n"/>
      <c r="E30" s="9" t="n"/>
    </row>
    <row r="31">
      <c r="A31" s="10" t="inlineStr">
        <is>
          <t>Vacancy, year 1 (% of gross potential rent)</t>
        </is>
      </c>
      <c r="B31" s="18" t="n">
        <v>0.075</v>
      </c>
      <c r="E31" s="14" t="inlineStr">
        <is>
          <t>Renovation downtime usually pushes year-one vacancy above stabilized.</t>
        </is>
      </c>
    </row>
    <row r="32">
      <c r="A32" s="10" t="inlineStr">
        <is>
          <t>Vacancy, year 2</t>
        </is>
      </c>
      <c r="B32" s="18" t="n">
        <v>0.065</v>
      </c>
    </row>
    <row r="33">
      <c r="A33" s="10" t="inlineStr">
        <is>
          <t>Vacancy, stabilized (year 3 onward)</t>
        </is>
      </c>
      <c r="B33" s="18" t="n">
        <v>0.055</v>
      </c>
    </row>
    <row r="34">
      <c r="A34" s="10" t="inlineStr">
        <is>
          <t>Concessions (% of gross potential rent)</t>
        </is>
      </c>
      <c r="B34" s="18" t="n">
        <v>0.01</v>
      </c>
    </row>
    <row r="35">
      <c r="A35" s="10" t="inlineStr">
        <is>
          <t>Non-revenue units (% of gross potential rent)</t>
        </is>
      </c>
      <c r="B35" s="18" t="n">
        <v>0.005</v>
      </c>
      <c r="E35" s="14" t="inlineStr">
        <is>
          <t>Model unit, employee units, down units.</t>
        </is>
      </c>
    </row>
    <row r="36">
      <c r="A36" s="10" t="inlineStr">
        <is>
          <t>Bad debt (% of collectible rent)</t>
        </is>
      </c>
      <c r="B36" s="18" t="n">
        <v>0.01</v>
      </c>
      <c r="E36" s="14" t="inlineStr">
        <is>
          <t>Taken after vacancy, concessions and non-revenue units.</t>
        </is>
      </c>
    </row>
    <row r="38">
      <c r="A38" s="8" t="inlineStr">
        <is>
          <t>OTHER INCOME (year 1)</t>
        </is>
      </c>
      <c r="B38" s="9" t="n"/>
      <c r="C38" s="9" t="n"/>
      <c r="D38" s="9" t="n"/>
      <c r="E38" s="9" t="n"/>
    </row>
    <row r="39">
      <c r="A39" s="19" t="inlineStr">
        <is>
          <t>Line item</t>
        </is>
      </c>
      <c r="B39" s="20" t="inlineStr">
        <is>
          <t>Per unit, per month</t>
        </is>
      </c>
      <c r="C39" s="20" t="inlineStr">
        <is>
          <t>Scales with occupancy?</t>
        </is>
      </c>
      <c r="D39" s="20" t="inlineStr">
        <is>
          <t>Annual at 100%</t>
        </is>
      </c>
    </row>
    <row r="40">
      <c r="A40" s="10" t="inlineStr">
        <is>
          <t>Utility reimbursement (RUBS)</t>
        </is>
      </c>
      <c r="B40" s="21" t="n">
        <v>55</v>
      </c>
      <c r="C40" s="22" t="inlineStr">
        <is>
          <t>Yes</t>
        </is>
      </c>
      <c r="D40" s="16">
        <f>B40*B10*12</f>
        <v/>
      </c>
    </row>
    <row r="41">
      <c r="A41" s="10" t="inlineStr">
        <is>
          <t>Parking and storage</t>
        </is>
      </c>
      <c r="B41" s="21" t="n">
        <v>8</v>
      </c>
      <c r="C41" s="22" t="inlineStr">
        <is>
          <t>No</t>
        </is>
      </c>
      <c r="D41" s="16">
        <f>B41*B10*12</f>
        <v/>
      </c>
    </row>
    <row r="42">
      <c r="A42" s="10" t="inlineStr">
        <is>
          <t>Pet fees</t>
        </is>
      </c>
      <c r="B42" s="21" t="n">
        <v>6</v>
      </c>
      <c r="C42" s="22" t="inlineStr">
        <is>
          <t>No</t>
        </is>
      </c>
      <c r="D42" s="16">
        <f>B42*B10*12</f>
        <v/>
      </c>
    </row>
    <row r="43">
      <c r="A43" s="10" t="inlineStr">
        <is>
          <t>Laundry and vending</t>
        </is>
      </c>
      <c r="B43" s="21" t="n">
        <v>4</v>
      </c>
      <c r="C43" s="22" t="inlineStr">
        <is>
          <t>Yes</t>
        </is>
      </c>
      <c r="D43" s="16">
        <f>B43*B10*12</f>
        <v/>
      </c>
    </row>
    <row r="44">
      <c r="A44" s="10" t="inlineStr">
        <is>
          <t>Application and admin fees</t>
        </is>
      </c>
      <c r="B44" s="21" t="n">
        <v>5</v>
      </c>
      <c r="C44" s="22" t="inlineStr">
        <is>
          <t>Yes</t>
        </is>
      </c>
      <c r="D44" s="16">
        <f>B44*B10*12</f>
        <v/>
      </c>
    </row>
    <row r="45">
      <c r="A45" s="10" t="inlineStr">
        <is>
          <t>Late fees and other</t>
        </is>
      </c>
      <c r="B45" s="21" t="n">
        <v>7</v>
      </c>
      <c r="C45" s="22" t="inlineStr">
        <is>
          <t>Yes</t>
        </is>
      </c>
      <c r="D45" s="16">
        <f>B45*B10*12</f>
        <v/>
      </c>
    </row>
    <row r="46">
      <c r="A46" s="23" t="inlineStr">
        <is>
          <t>Total other income (annual, at 100% occupancy)</t>
        </is>
      </c>
      <c r="D46" s="24">
        <f>SUM(D40:D45)</f>
        <v/>
      </c>
    </row>
    <row r="47">
      <c r="A47" s="10" t="inlineStr">
        <is>
          <t>Occupancy-scaled portion</t>
        </is>
      </c>
      <c r="D47" s="16">
        <f>SUMIF(C40:C45,"Yes",D40:D45)</f>
        <v/>
      </c>
      <c r="E47" s="14" t="inlineStr">
        <is>
          <t>Reimbursements and fees follow occupancy. Parking and pet rent usually do not. The Pro Forma applies (1 less vacancy) to the scaled portion only.</t>
        </is>
      </c>
    </row>
    <row r="48">
      <c r="A48" s="10" t="inlineStr">
        <is>
          <t>Fixed portion</t>
        </is>
      </c>
      <c r="D48" s="16">
        <f>D46-D47</f>
        <v/>
      </c>
    </row>
    <row r="50">
      <c r="A50" s="8" t="inlineStr">
        <is>
          <t>OPERATING EXPENSES</t>
        </is>
      </c>
      <c r="B50" s="9" t="n"/>
      <c r="C50" s="9" t="n"/>
      <c r="D50" s="9" t="n"/>
      <c r="E50" s="9" t="n"/>
    </row>
    <row r="51">
      <c r="A51" s="10" t="inlineStr">
        <is>
          <t>Year-1 operating expenses before management fee</t>
        </is>
      </c>
      <c r="B51" s="16">
        <f>'T12'!F29</f>
        <v/>
      </c>
      <c r="E51" s="14" t="inlineStr">
        <is>
          <t>From the T12 tab.</t>
        </is>
      </c>
    </row>
    <row r="52">
      <c r="A52" s="10" t="inlineStr">
        <is>
          <t>Property management fee (% of EGI)</t>
        </is>
      </c>
      <c r="B52" s="18" t="n">
        <v>0.03</v>
      </c>
    </row>
    <row r="53">
      <c r="A53" s="10" t="inlineStr">
        <is>
          <t>Replacement reserves (per unit, per year)</t>
        </is>
      </c>
      <c r="B53" s="15" t="n">
        <v>300</v>
      </c>
      <c r="E53" s="14" t="inlineStr">
        <is>
          <t>Held below the NOI line. If your lender wants it above, move it into the T12 expense block and set this cell to zero, or the reserve is charged twice.</t>
        </is>
      </c>
    </row>
    <row r="54">
      <c r="A54" s="10" t="inlineStr">
        <is>
          <t>Operating expenses per unit (year 1, before fee)</t>
        </is>
      </c>
      <c r="B54" s="16">
        <f>IF(B10=0,0,B51/B10)</f>
        <v/>
      </c>
    </row>
    <row r="56">
      <c r="A56" s="8" t="inlineStr">
        <is>
          <t>RENOVATION</t>
        </is>
      </c>
      <c r="B56" s="9" t="n"/>
      <c r="C56" s="9" t="n"/>
      <c r="D56" s="9" t="n"/>
      <c r="E56" s="9" t="n"/>
    </row>
    <row r="57">
      <c r="A57" s="10" t="inlineStr">
        <is>
          <t>Units to renovate (total)</t>
        </is>
      </c>
      <c r="B57" s="12" t="n">
        <v>90</v>
      </c>
      <c r="E57" s="14" t="inlineStr">
        <is>
          <t>The year-by-year schedule lives on the Pro Forma. Checks confirms the two agree.</t>
        </is>
      </c>
    </row>
    <row r="58">
      <c r="A58" s="10" t="inlineStr">
        <is>
          <t>Renovation cost per unit</t>
        </is>
      </c>
      <c r="B58" s="15" t="n">
        <v>14500</v>
      </c>
    </row>
    <row r="59">
      <c r="A59" s="10" t="inlineStr">
        <is>
          <t>Total renovation budget</t>
        </is>
      </c>
      <c r="B59" s="16">
        <f>B57*B58</f>
        <v/>
      </c>
    </row>
    <row r="60">
      <c r="A60" s="10" t="inlineStr">
        <is>
          <t>Renovation rent premium (per unit, per month)</t>
        </is>
      </c>
      <c r="B60" s="25" t="n">
        <v>190</v>
      </c>
      <c r="E60" s="14" t="inlineStr">
        <is>
          <t>Measured against MARKET rent, not in-place rent.</t>
        </is>
      </c>
    </row>
    <row r="61">
      <c r="A61" s="10" t="inlineStr">
        <is>
          <t>Share of renovation funded at close</t>
        </is>
      </c>
      <c r="B61" s="26" t="n">
        <v>0.5</v>
      </c>
      <c r="E61" s="14" t="inlineStr">
        <is>
          <t>The rest is spent out of operating cash flow in the year the units turn.</t>
        </is>
      </c>
    </row>
    <row r="62">
      <c r="A62" s="10" t="inlineStr">
        <is>
          <t>Reference: weighted average premium from the Rent Roll</t>
        </is>
      </c>
      <c r="B62" s="27">
        <f>'Rent Roll'!B36</f>
        <v/>
      </c>
    </row>
    <row r="64">
      <c r="A64" s="8" t="inlineStr">
        <is>
          <t>SENIOR DEBT</t>
        </is>
      </c>
      <c r="B64" s="9" t="n"/>
      <c r="C64" s="9" t="n"/>
      <c r="D64" s="9" t="n"/>
      <c r="E64" s="9" t="n"/>
    </row>
    <row r="65">
      <c r="A65" s="10" t="inlineStr">
        <is>
          <t>Interest rate (annual, fixed)</t>
        </is>
      </c>
      <c r="B65" s="18" t="n">
        <v>0.0615</v>
      </c>
    </row>
    <row r="66">
      <c r="A66" s="10" t="inlineStr">
        <is>
          <t>Amortization (years)</t>
        </is>
      </c>
      <c r="B66" s="12" t="n">
        <v>30</v>
      </c>
    </row>
    <row r="67">
      <c r="A67" s="10" t="inlineStr">
        <is>
          <t>Interest-only period (months)</t>
        </is>
      </c>
      <c r="B67" s="12" t="n">
        <v>24</v>
      </c>
      <c r="E67" s="14" t="inlineStr">
        <is>
          <t>Quoted in months. It composes with the amortization term rather than shortening it.</t>
        </is>
      </c>
    </row>
    <row r="68">
      <c r="A68" s="10" t="inlineStr">
        <is>
          <t>Loan term (years)</t>
        </is>
      </c>
      <c r="B68" s="12" t="n">
        <v>7</v>
      </c>
      <c r="E68" s="14" t="inlineStr">
        <is>
          <t>Checks warns if the hold runs past the term.</t>
        </is>
      </c>
    </row>
    <row r="69">
      <c r="A69" s="10" t="inlineStr">
        <is>
          <t>Origination fee (% of loan)</t>
        </is>
      </c>
      <c r="B69" s="18" t="n">
        <v>0.01</v>
      </c>
    </row>
    <row r="70">
      <c r="A70" s="10" t="inlineStr">
        <is>
          <t>Maximum loan to value</t>
        </is>
      </c>
      <c r="B70" s="26" t="n">
        <v>0.65</v>
      </c>
    </row>
    <row r="71">
      <c r="A71" s="10" t="inlineStr">
        <is>
          <t>Minimum debt service coverage</t>
        </is>
      </c>
      <c r="B71" s="28" t="n">
        <v>1.25</v>
      </c>
    </row>
    <row r="72">
      <c r="A72" s="10" t="inlineStr">
        <is>
          <t>DSCR stress rate (0 uses the coupon)</t>
        </is>
      </c>
      <c r="B72" s="18" t="n">
        <v>0.065</v>
      </c>
      <c r="E72" s="14" t="inlineStr">
        <is>
          <t>Agency and most balance-sheet lenders size coverage at a rate above the coupon.</t>
        </is>
      </c>
    </row>
    <row r="73">
      <c r="A73" s="10" t="inlineStr">
        <is>
          <t>Minimum debt yield</t>
        </is>
      </c>
      <c r="B73" s="18" t="n">
        <v>0.08500000000000001</v>
      </c>
    </row>
    <row r="74">
      <c r="A74" s="10" t="inlineStr">
        <is>
          <t>Apply the LTV test (1 = yes, 0 = no)</t>
        </is>
      </c>
      <c r="B74" s="12" t="n">
        <v>1</v>
      </c>
      <c r="E74" s="14" t="inlineStr">
        <is>
          <t>The loan is the smallest of the tests you switch on. Debt sizes on the binding constraint, and on a value-add deal that is usually coverage, not leverage.</t>
        </is>
      </c>
    </row>
    <row r="75">
      <c r="A75" s="10" t="inlineStr">
        <is>
          <t>Apply the DSCR test (1 = yes, 0 = no)</t>
        </is>
      </c>
      <c r="B75" s="12" t="n">
        <v>1</v>
      </c>
    </row>
    <row r="76">
      <c r="A76" s="10" t="inlineStr">
        <is>
          <t>Apply the debt yield test (1 = yes, 0 = no)</t>
        </is>
      </c>
      <c r="B76" s="12" t="n">
        <v>1</v>
      </c>
    </row>
    <row r="78">
      <c r="A78" s="8" t="inlineStr">
        <is>
          <t>EXIT</t>
        </is>
      </c>
      <c r="B78" s="9" t="n"/>
      <c r="C78" s="9" t="n"/>
      <c r="D78" s="9" t="n"/>
      <c r="E78" s="9" t="n"/>
    </row>
    <row r="79">
      <c r="A79" s="10" t="inlineStr">
        <is>
          <t>Exit cap rate</t>
        </is>
      </c>
      <c r="B79" s="18" t="n">
        <v>0.0625</v>
      </c>
      <c r="E79" s="14" t="inlineStr">
        <is>
          <t>Applied to the forward NOI, the year after you sell.</t>
        </is>
      </c>
    </row>
    <row r="80">
      <c r="A80" s="10" t="inlineStr">
        <is>
          <t>Cost of sale (% of gross price)</t>
        </is>
      </c>
      <c r="B80" s="18" t="n">
        <v>0.02</v>
      </c>
      <c r="E80" s="14" t="inlineStr">
        <is>
          <t>Brokerage, transfer tax, legal.</t>
        </is>
      </c>
    </row>
    <row r="82">
      <c r="A82" s="8" t="inlineStr">
        <is>
          <t>YOUR RETURN HURDLES</t>
        </is>
      </c>
      <c r="B82" s="9" t="n"/>
      <c r="C82" s="9" t="n"/>
      <c r="D82" s="9" t="n"/>
      <c r="E82" s="9" t="n"/>
    </row>
    <row r="83">
      <c r="A83" s="10" t="inlineStr">
        <is>
          <t>Target levered IRR</t>
        </is>
      </c>
      <c r="B83" s="26" t="n">
        <v>0.15</v>
      </c>
      <c r="E83" s="14" t="inlineStr">
        <is>
          <t>These are yours, not the model's. The Returns tab judges the deal against them.</t>
        </is>
      </c>
    </row>
    <row r="84">
      <c r="A84" s="10" t="inlineStr">
        <is>
          <t>Target equity multiple</t>
        </is>
      </c>
      <c r="B84" s="28" t="n">
        <v>1.8</v>
      </c>
    </row>
    <row r="85">
      <c r="A85" s="10" t="inlineStr">
        <is>
          <t>Minimum going-in DSCR</t>
        </is>
      </c>
      <c r="B85" s="28" t="n">
        <v>1.25</v>
      </c>
    </row>
    <row r="86">
      <c r="A86" s="10" t="inlineStr">
        <is>
          <t>Minimum going-in debt yield</t>
        </is>
      </c>
      <c r="B86" s="18" t="n">
        <v>0.08</v>
      </c>
    </row>
    <row r="88">
      <c r="A88" s="8" t="inlineStr">
        <is>
          <t>SENSITIVITY AXIS STEPS</t>
        </is>
      </c>
      <c r="B88" s="9" t="n"/>
      <c r="C88" s="9" t="n"/>
      <c r="D88" s="9" t="n"/>
      <c r="E88" s="9" t="n"/>
    </row>
    <row r="89">
      <c r="A89" s="10" t="inlineStr">
        <is>
          <t>Exit cap step</t>
        </is>
      </c>
      <c r="B89" s="18" t="n">
        <v>0.0025</v>
      </c>
    </row>
    <row r="90">
      <c r="A90" s="10" t="inlineStr">
        <is>
          <t>Rent growth step</t>
        </is>
      </c>
      <c r="B90" s="18" t="n">
        <v>0.005</v>
      </c>
    </row>
    <row r="91">
      <c r="A91" s="10" t="inlineStr">
        <is>
          <t>Purchase price step (% of price)</t>
        </is>
      </c>
      <c r="B91" s="26" t="n">
        <v>0.03</v>
      </c>
    </row>
  </sheetData>
  <dataValidations count="2">
    <dataValidation sqref="C40 C41 C42 C43 C44 C45" showErrorMessage="1" showInputMessage="1" allowBlank="1" type="list">
      <formula1>"Yes,No"</formula1>
    </dataValidation>
    <dataValidation sqref="B74 B75 B76" showErrorMessage="1" showInputMessage="1" allowBlank="0" type="list">
      <formula1>"1,0"</formula1>
    </dataValidation>
  </dataValidations>
  <pageMargins left="0.4" right="0.4" top="0.5" bottom="0.5" header="0.5" footer="0.5"/>
  <pageSetup orientation="portrait" fitToHeight="0" fitToWidth="1"/>
  <headerFooter>
    <oddHeader/>
    <oddFooter>&amp;L&amp;8 &amp;K808080Altyst multifamily underwriting model&amp;R&amp;8 &amp;K808080Page &amp;P of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O39"/>
  <sheetViews>
    <sheetView showGridLines="0" workbookViewId="0">
      <pane ySplit="4" topLeftCell="A5" activePane="bottomLeft" state="frozen"/>
      <selection pane="bottomLeft" activeCell="A1" sqref="A1"/>
    </sheetView>
  </sheetViews>
  <sheetFormatPr baseColWidth="8" defaultRowHeight="15"/>
  <cols>
    <col width="22" customWidth="1" min="1" max="1"/>
    <col width="9" customWidth="1" min="2" max="2"/>
    <col width="10" customWidth="1" min="3" max="3"/>
    <col width="11" customWidth="1" min="4" max="4"/>
    <col width="11" customWidth="1" min="5" max="5"/>
    <col width="12" customWidth="1" min="6" max="6"/>
    <col width="12" customWidth="1" min="7" max="7"/>
    <col width="13" customWidth="1" min="8" max="8"/>
    <col width="14" customWidth="1" min="9" max="9"/>
    <col width="14" customWidth="1" min="10" max="10"/>
    <col width="13" customWidth="1" min="11" max="11"/>
    <col width="10" customWidth="1" min="12" max="12"/>
    <col width="10" customWidth="1" min="13" max="13"/>
    <col width="10" customWidth="1" min="14" max="14"/>
    <col width="12" customWidth="1" min="15" max="15"/>
  </cols>
  <sheetData>
    <row r="1">
      <c r="A1" s="1" t="inlineStr">
        <is>
          <t>Rent Roll</t>
        </is>
      </c>
    </row>
    <row r="2">
      <c r="A2" s="2" t="inlineStr">
        <is>
          <t>Unit mix rollup. Replace these rows with your own mix. Everything downstream reads the total row.</t>
        </is>
      </c>
    </row>
    <row r="3">
      <c r="A3" s="7" t="n"/>
      <c r="B3" s="7" t="n"/>
      <c r="C3" s="7" t="n"/>
      <c r="D3" s="7" t="n"/>
      <c r="E3" s="7" t="n"/>
      <c r="F3" s="7" t="n"/>
      <c r="G3" s="7" t="n"/>
      <c r="H3" s="7" t="n"/>
      <c r="I3" s="7" t="n"/>
      <c r="J3" s="7" t="n"/>
      <c r="K3" s="7" t="n"/>
      <c r="L3" s="7" t="n"/>
      <c r="M3" s="7" t="n"/>
      <c r="N3" s="7" t="n"/>
      <c r="O3" s="7" t="n"/>
    </row>
    <row r="4">
      <c r="A4" s="29" t="inlineStr">
        <is>
          <t>Unit type</t>
        </is>
      </c>
      <c r="B4" s="30" t="inlineStr">
        <is>
          <t>Units</t>
        </is>
      </c>
      <c r="C4" s="30" t="inlineStr">
        <is>
          <t>Avg SF</t>
        </is>
      </c>
      <c r="D4" s="30" t="inlineStr">
        <is>
          <t>Total SF</t>
        </is>
      </c>
      <c r="E4" s="30" t="inlineStr">
        <is>
          <t>Occupied</t>
        </is>
      </c>
      <c r="F4" s="30" t="inlineStr">
        <is>
          <t>In-place rent</t>
        </is>
      </c>
      <c r="G4" s="30" t="inlineStr">
        <is>
          <t>Market rent</t>
        </is>
      </c>
      <c r="H4" s="30" t="inlineStr">
        <is>
          <t>Post-reno rent</t>
        </is>
      </c>
      <c r="I4" s="30" t="inlineStr">
        <is>
          <t>In-place annual</t>
        </is>
      </c>
      <c r="J4" s="30" t="inlineStr">
        <is>
          <t>Market annual</t>
        </is>
      </c>
      <c r="K4" s="30" t="inlineStr">
        <is>
          <t>Loss to lease</t>
        </is>
      </c>
      <c r="L4" s="30" t="inlineStr">
        <is>
          <t>LTL %</t>
        </is>
      </c>
      <c r="M4" s="30" t="inlineStr">
        <is>
          <t>In-place PSF</t>
        </is>
      </c>
      <c r="N4" s="30" t="inlineStr">
        <is>
          <t>Market PSF</t>
        </is>
      </c>
      <c r="O4" s="30" t="inlineStr">
        <is>
          <t>Reno premium</t>
        </is>
      </c>
    </row>
    <row r="5">
      <c r="A5" s="31" t="inlineStr">
        <is>
          <t>1BR / 1BA</t>
        </is>
      </c>
      <c r="B5" s="32" t="n">
        <v>48</v>
      </c>
      <c r="C5" s="32" t="n">
        <v>700</v>
      </c>
      <c r="D5" s="33">
        <f>B5*C5</f>
        <v/>
      </c>
      <c r="E5" s="32" t="n">
        <v>46</v>
      </c>
      <c r="F5" s="34" t="n">
        <v>1395</v>
      </c>
      <c r="G5" s="34" t="n">
        <v>1475</v>
      </c>
      <c r="H5" s="34" t="n">
        <v>1650</v>
      </c>
      <c r="I5" s="35">
        <f>B5*F5*12</f>
        <v/>
      </c>
      <c r="J5" s="35">
        <f>B5*G5*12</f>
        <v/>
      </c>
      <c r="K5" s="35">
        <f>J5-I5</f>
        <v/>
      </c>
      <c r="L5" s="36">
        <f>IF(J5=0,0,K5/J5)</f>
        <v/>
      </c>
      <c r="M5" s="37">
        <f>IF(C5=0,0,F5/C5)</f>
        <v/>
      </c>
      <c r="N5" s="37">
        <f>IF(C5=0,0,G5/C5)</f>
        <v/>
      </c>
      <c r="O5" s="38">
        <f>MAX(0,H5-G5)</f>
        <v/>
      </c>
    </row>
    <row r="6">
      <c r="A6" s="31" t="inlineStr">
        <is>
          <t>2BR / 1BA</t>
        </is>
      </c>
      <c r="B6" s="32" t="n">
        <v>40</v>
      </c>
      <c r="C6" s="32" t="n">
        <v>950</v>
      </c>
      <c r="D6" s="33">
        <f>B6*C6</f>
        <v/>
      </c>
      <c r="E6" s="32" t="n">
        <v>38</v>
      </c>
      <c r="F6" s="34" t="n">
        <v>1625</v>
      </c>
      <c r="G6" s="34" t="n">
        <v>1720</v>
      </c>
      <c r="H6" s="34" t="n">
        <v>1920</v>
      </c>
      <c r="I6" s="35">
        <f>B6*F6*12</f>
        <v/>
      </c>
      <c r="J6" s="35">
        <f>B6*G6*12</f>
        <v/>
      </c>
      <c r="K6" s="35">
        <f>J6-I6</f>
        <v/>
      </c>
      <c r="L6" s="36">
        <f>IF(J6=0,0,K6/J6)</f>
        <v/>
      </c>
      <c r="M6" s="37">
        <f>IF(C6=0,0,F6/C6)</f>
        <v/>
      </c>
      <c r="N6" s="37">
        <f>IF(C6=0,0,G6/C6)</f>
        <v/>
      </c>
      <c r="O6" s="38">
        <f>MAX(0,H6-G6)</f>
        <v/>
      </c>
    </row>
    <row r="7">
      <c r="A7" s="31" t="inlineStr">
        <is>
          <t>2BR / 2BA</t>
        </is>
      </c>
      <c r="B7" s="32" t="n">
        <v>24</v>
      </c>
      <c r="C7" s="32" t="n">
        <v>1050</v>
      </c>
      <c r="D7" s="33">
        <f>B7*C7</f>
        <v/>
      </c>
      <c r="E7" s="32" t="n">
        <v>23</v>
      </c>
      <c r="F7" s="34" t="n">
        <v>1780</v>
      </c>
      <c r="G7" s="34" t="n">
        <v>1875</v>
      </c>
      <c r="H7" s="34" t="n">
        <v>2085</v>
      </c>
      <c r="I7" s="35">
        <f>B7*F7*12</f>
        <v/>
      </c>
      <c r="J7" s="35">
        <f>B7*G7*12</f>
        <v/>
      </c>
      <c r="K7" s="35">
        <f>J7-I7</f>
        <v/>
      </c>
      <c r="L7" s="36">
        <f>IF(J7=0,0,K7/J7)</f>
        <v/>
      </c>
      <c r="M7" s="37">
        <f>IF(C7=0,0,F7/C7)</f>
        <v/>
      </c>
      <c r="N7" s="37">
        <f>IF(C7=0,0,G7/C7)</f>
        <v/>
      </c>
      <c r="O7" s="38">
        <f>MAX(0,H7-G7)</f>
        <v/>
      </c>
    </row>
    <row r="8">
      <c r="A8" s="31" t="inlineStr">
        <is>
          <t>3BR / 2BA</t>
        </is>
      </c>
      <c r="B8" s="32" t="n">
        <v>8</v>
      </c>
      <c r="C8" s="32" t="n">
        <v>1250</v>
      </c>
      <c r="D8" s="33">
        <f>B8*C8</f>
        <v/>
      </c>
      <c r="E8" s="32" t="n">
        <v>8</v>
      </c>
      <c r="F8" s="34" t="n">
        <v>2050</v>
      </c>
      <c r="G8" s="34" t="n">
        <v>2150</v>
      </c>
      <c r="H8" s="34" t="n">
        <v>2375</v>
      </c>
      <c r="I8" s="35">
        <f>B8*F8*12</f>
        <v/>
      </c>
      <c r="J8" s="35">
        <f>B8*G8*12</f>
        <v/>
      </c>
      <c r="K8" s="35">
        <f>J8-I8</f>
        <v/>
      </c>
      <c r="L8" s="36">
        <f>IF(J8=0,0,K8/J8)</f>
        <v/>
      </c>
      <c r="M8" s="37">
        <f>IF(C8=0,0,F8/C8)</f>
        <v/>
      </c>
      <c r="N8" s="37">
        <f>IF(C8=0,0,G8/C8)</f>
        <v/>
      </c>
      <c r="O8" s="38">
        <f>MAX(0,H8-G8)</f>
        <v/>
      </c>
    </row>
    <row r="9">
      <c r="A9" s="31" t="n"/>
      <c r="B9" s="32" t="n"/>
      <c r="C9" s="32" t="n"/>
      <c r="D9" s="33">
        <f>B9*C9</f>
        <v/>
      </c>
      <c r="E9" s="32" t="n"/>
      <c r="F9" s="34" t="n"/>
      <c r="G9" s="34" t="n"/>
      <c r="H9" s="34" t="n"/>
      <c r="I9" s="35">
        <f>B9*F9*12</f>
        <v/>
      </c>
      <c r="J9" s="35">
        <f>B9*G9*12</f>
        <v/>
      </c>
      <c r="K9" s="35">
        <f>J9-I9</f>
        <v/>
      </c>
      <c r="L9" s="36">
        <f>IF(J9=0,0,K9/J9)</f>
        <v/>
      </c>
      <c r="M9" s="37">
        <f>IF(C9=0,0,F9/C9)</f>
        <v/>
      </c>
      <c r="N9" s="37">
        <f>IF(C9=0,0,G9/C9)</f>
        <v/>
      </c>
      <c r="O9" s="38">
        <f>MAX(0,H9-G9)</f>
        <v/>
      </c>
    </row>
    <row r="10">
      <c r="A10" s="31" t="n"/>
      <c r="B10" s="32" t="n"/>
      <c r="C10" s="32" t="n"/>
      <c r="D10" s="33">
        <f>B10*C10</f>
        <v/>
      </c>
      <c r="E10" s="32" t="n"/>
      <c r="F10" s="34" t="n"/>
      <c r="G10" s="34" t="n"/>
      <c r="H10" s="34" t="n"/>
      <c r="I10" s="35">
        <f>B10*F10*12</f>
        <v/>
      </c>
      <c r="J10" s="35">
        <f>B10*G10*12</f>
        <v/>
      </c>
      <c r="K10" s="35">
        <f>J10-I10</f>
        <v/>
      </c>
      <c r="L10" s="36">
        <f>IF(J10=0,0,K10/J10)</f>
        <v/>
      </c>
      <c r="M10" s="37">
        <f>IF(C10=0,0,F10/C10)</f>
        <v/>
      </c>
      <c r="N10" s="37">
        <f>IF(C10=0,0,G10/C10)</f>
        <v/>
      </c>
      <c r="O10" s="38">
        <f>MAX(0,H10-G10)</f>
        <v/>
      </c>
    </row>
    <row r="11">
      <c r="A11" s="31" t="n"/>
      <c r="B11" s="32" t="n"/>
      <c r="C11" s="32" t="n"/>
      <c r="D11" s="33">
        <f>B11*C11</f>
        <v/>
      </c>
      <c r="E11" s="32" t="n"/>
      <c r="F11" s="34" t="n"/>
      <c r="G11" s="34" t="n"/>
      <c r="H11" s="34" t="n"/>
      <c r="I11" s="35">
        <f>B11*F11*12</f>
        <v/>
      </c>
      <c r="J11" s="35">
        <f>B11*G11*12</f>
        <v/>
      </c>
      <c r="K11" s="35">
        <f>J11-I11</f>
        <v/>
      </c>
      <c r="L11" s="36">
        <f>IF(J11=0,0,K11/J11)</f>
        <v/>
      </c>
      <c r="M11" s="37">
        <f>IF(C11=0,0,F11/C11)</f>
        <v/>
      </c>
      <c r="N11" s="37">
        <f>IF(C11=0,0,G11/C11)</f>
        <v/>
      </c>
      <c r="O11" s="38">
        <f>MAX(0,H11-G11)</f>
        <v/>
      </c>
    </row>
    <row r="12">
      <c r="A12" s="31" t="n"/>
      <c r="B12" s="32" t="n"/>
      <c r="C12" s="32" t="n"/>
      <c r="D12" s="33">
        <f>B12*C12</f>
        <v/>
      </c>
      <c r="E12" s="32" t="n"/>
      <c r="F12" s="34" t="n"/>
      <c r="G12" s="34" t="n"/>
      <c r="H12" s="34" t="n"/>
      <c r="I12" s="35">
        <f>B12*F12*12</f>
        <v/>
      </c>
      <c r="J12" s="35">
        <f>B12*G12*12</f>
        <v/>
      </c>
      <c r="K12" s="35">
        <f>J12-I12</f>
        <v/>
      </c>
      <c r="L12" s="36">
        <f>IF(J12=0,0,K12/J12)</f>
        <v/>
      </c>
      <c r="M12" s="37">
        <f>IF(C12=0,0,F12/C12)</f>
        <v/>
      </c>
      <c r="N12" s="37">
        <f>IF(C12=0,0,G12/C12)</f>
        <v/>
      </c>
      <c r="O12" s="38">
        <f>MAX(0,H12-G12)</f>
        <v/>
      </c>
    </row>
    <row r="13">
      <c r="A13" s="31" t="n"/>
      <c r="B13" s="32" t="n"/>
      <c r="C13" s="32" t="n"/>
      <c r="D13" s="33">
        <f>B13*C13</f>
        <v/>
      </c>
      <c r="E13" s="32" t="n"/>
      <c r="F13" s="34" t="n"/>
      <c r="G13" s="34" t="n"/>
      <c r="H13" s="34" t="n"/>
      <c r="I13" s="35">
        <f>B13*F13*12</f>
        <v/>
      </c>
      <c r="J13" s="35">
        <f>B13*G13*12</f>
        <v/>
      </c>
      <c r="K13" s="35">
        <f>J13-I13</f>
        <v/>
      </c>
      <c r="L13" s="36">
        <f>IF(J13=0,0,K13/J13)</f>
        <v/>
      </c>
      <c r="M13" s="37">
        <f>IF(C13=0,0,F13/C13)</f>
        <v/>
      </c>
      <c r="N13" s="37">
        <f>IF(C13=0,0,G13/C13)</f>
        <v/>
      </c>
      <c r="O13" s="38">
        <f>MAX(0,H13-G13)</f>
        <v/>
      </c>
    </row>
    <row r="14">
      <c r="A14" s="31" t="n"/>
      <c r="B14" s="32" t="n"/>
      <c r="C14" s="32" t="n"/>
      <c r="D14" s="33">
        <f>B14*C14</f>
        <v/>
      </c>
      <c r="E14" s="32" t="n"/>
      <c r="F14" s="34" t="n"/>
      <c r="G14" s="34" t="n"/>
      <c r="H14" s="34" t="n"/>
      <c r="I14" s="35">
        <f>B14*F14*12</f>
        <v/>
      </c>
      <c r="J14" s="35">
        <f>B14*G14*12</f>
        <v/>
      </c>
      <c r="K14" s="35">
        <f>J14-I14</f>
        <v/>
      </c>
      <c r="L14" s="36">
        <f>IF(J14=0,0,K14/J14)</f>
        <v/>
      </c>
      <c r="M14" s="37">
        <f>IF(C14=0,0,F14/C14)</f>
        <v/>
      </c>
      <c r="N14" s="37">
        <f>IF(C14=0,0,G14/C14)</f>
        <v/>
      </c>
      <c r="O14" s="38">
        <f>MAX(0,H14-G14)</f>
        <v/>
      </c>
    </row>
    <row r="15">
      <c r="A15" s="31" t="n"/>
      <c r="B15" s="32" t="n"/>
      <c r="C15" s="32" t="n"/>
      <c r="D15" s="33">
        <f>B15*C15</f>
        <v/>
      </c>
      <c r="E15" s="32" t="n"/>
      <c r="F15" s="34" t="n"/>
      <c r="G15" s="34" t="n"/>
      <c r="H15" s="34" t="n"/>
      <c r="I15" s="35">
        <f>B15*F15*12</f>
        <v/>
      </c>
      <c r="J15" s="35">
        <f>B15*G15*12</f>
        <v/>
      </c>
      <c r="K15" s="35">
        <f>J15-I15</f>
        <v/>
      </c>
      <c r="L15" s="36">
        <f>IF(J15=0,0,K15/J15)</f>
        <v/>
      </c>
      <c r="M15" s="37">
        <f>IF(C15=0,0,F15/C15)</f>
        <v/>
      </c>
      <c r="N15" s="37">
        <f>IF(C15=0,0,G15/C15)</f>
        <v/>
      </c>
      <c r="O15" s="38">
        <f>MAX(0,H15-G15)</f>
        <v/>
      </c>
    </row>
    <row r="16">
      <c r="A16" s="31" t="n"/>
      <c r="B16" s="32" t="n"/>
      <c r="C16" s="32" t="n"/>
      <c r="D16" s="33">
        <f>B16*C16</f>
        <v/>
      </c>
      <c r="E16" s="32" t="n"/>
      <c r="F16" s="34" t="n"/>
      <c r="G16" s="34" t="n"/>
      <c r="H16" s="34" t="n"/>
      <c r="I16" s="35">
        <f>B16*F16*12</f>
        <v/>
      </c>
      <c r="J16" s="35">
        <f>B16*G16*12</f>
        <v/>
      </c>
      <c r="K16" s="35">
        <f>J16-I16</f>
        <v/>
      </c>
      <c r="L16" s="36">
        <f>IF(J16=0,0,K16/J16)</f>
        <v/>
      </c>
      <c r="M16" s="37">
        <f>IF(C16=0,0,F16/C16)</f>
        <v/>
      </c>
      <c r="N16" s="37">
        <f>IF(C16=0,0,G16/C16)</f>
        <v/>
      </c>
      <c r="O16" s="38">
        <f>MAX(0,H16-G16)</f>
        <v/>
      </c>
    </row>
    <row r="17">
      <c r="A17" s="31" t="n"/>
      <c r="B17" s="32" t="n"/>
      <c r="C17" s="32" t="n"/>
      <c r="D17" s="33">
        <f>B17*C17</f>
        <v/>
      </c>
      <c r="E17" s="32" t="n"/>
      <c r="F17" s="34" t="n"/>
      <c r="G17" s="34" t="n"/>
      <c r="H17" s="34" t="n"/>
      <c r="I17" s="35">
        <f>B17*F17*12</f>
        <v/>
      </c>
      <c r="J17" s="35">
        <f>B17*G17*12</f>
        <v/>
      </c>
      <c r="K17" s="35">
        <f>J17-I17</f>
        <v/>
      </c>
      <c r="L17" s="36">
        <f>IF(J17=0,0,K17/J17)</f>
        <v/>
      </c>
      <c r="M17" s="37">
        <f>IF(C17=0,0,F17/C17)</f>
        <v/>
      </c>
      <c r="N17" s="37">
        <f>IF(C17=0,0,G17/C17)</f>
        <v/>
      </c>
      <c r="O17" s="38">
        <f>MAX(0,H17-G17)</f>
        <v/>
      </c>
    </row>
    <row r="18">
      <c r="A18" s="31" t="n"/>
      <c r="B18" s="32" t="n"/>
      <c r="C18" s="32" t="n"/>
      <c r="D18" s="33">
        <f>B18*C18</f>
        <v/>
      </c>
      <c r="E18" s="32" t="n"/>
      <c r="F18" s="34" t="n"/>
      <c r="G18" s="34" t="n"/>
      <c r="H18" s="34" t="n"/>
      <c r="I18" s="35">
        <f>B18*F18*12</f>
        <v/>
      </c>
      <c r="J18" s="35">
        <f>B18*G18*12</f>
        <v/>
      </c>
      <c r="K18" s="35">
        <f>J18-I18</f>
        <v/>
      </c>
      <c r="L18" s="36">
        <f>IF(J18=0,0,K18/J18)</f>
        <v/>
      </c>
      <c r="M18" s="37">
        <f>IF(C18=0,0,F18/C18)</f>
        <v/>
      </c>
      <c r="N18" s="37">
        <f>IF(C18=0,0,G18/C18)</f>
        <v/>
      </c>
      <c r="O18" s="38">
        <f>MAX(0,H18-G18)</f>
        <v/>
      </c>
    </row>
    <row r="19">
      <c r="A19" s="31" t="n"/>
      <c r="B19" s="32" t="n"/>
      <c r="C19" s="32" t="n"/>
      <c r="D19" s="33">
        <f>B19*C19</f>
        <v/>
      </c>
      <c r="E19" s="32" t="n"/>
      <c r="F19" s="34" t="n"/>
      <c r="G19" s="34" t="n"/>
      <c r="H19" s="34" t="n"/>
      <c r="I19" s="35">
        <f>B19*F19*12</f>
        <v/>
      </c>
      <c r="J19" s="35">
        <f>B19*G19*12</f>
        <v/>
      </c>
      <c r="K19" s="35">
        <f>J19-I19</f>
        <v/>
      </c>
      <c r="L19" s="36">
        <f>IF(J19=0,0,K19/J19)</f>
        <v/>
      </c>
      <c r="M19" s="37">
        <f>IF(C19=0,0,F19/C19)</f>
        <v/>
      </c>
      <c r="N19" s="37">
        <f>IF(C19=0,0,G19/C19)</f>
        <v/>
      </c>
      <c r="O19" s="38">
        <f>MAX(0,H19-G19)</f>
        <v/>
      </c>
    </row>
    <row r="20">
      <c r="A20" s="39" t="inlineStr">
        <is>
          <t>Total / weighted average</t>
        </is>
      </c>
      <c r="B20" s="40">
        <f>SUM(B5:B19)</f>
        <v/>
      </c>
      <c r="C20" s="40">
        <f>IF(B20=0,0,D20/B20)</f>
        <v/>
      </c>
      <c r="D20" s="40">
        <f>SUM(D5:D19)</f>
        <v/>
      </c>
      <c r="E20" s="40">
        <f>SUM(E5:E19)</f>
        <v/>
      </c>
      <c r="F20" s="41">
        <f>IF(B20=0,0,I20/B20/12)</f>
        <v/>
      </c>
      <c r="G20" s="41">
        <f>IF(B20=0,0,J20/B20/12)</f>
        <v/>
      </c>
      <c r="H20" s="9" t="n"/>
      <c r="I20" s="42">
        <f>SUM(I5:I19)</f>
        <v/>
      </c>
      <c r="J20" s="42">
        <f>SUM(J5:J19)</f>
        <v/>
      </c>
      <c r="K20" s="42">
        <f>J20-I20</f>
        <v/>
      </c>
      <c r="L20" s="43">
        <f>IF(J20=0,0,K20/J20)</f>
        <v/>
      </c>
      <c r="M20" s="44">
        <f>IF(D20=0,0,I20/D20/12)</f>
        <v/>
      </c>
      <c r="N20" s="44">
        <f>IF(D20=0,0,J20/D20/12)</f>
        <v/>
      </c>
      <c r="O20" s="41">
        <f>IF(SUMIF(H5:H19,"&gt;0",B5:B19)=0,0,SUMPRODUCT(B5:B19,O5:O19)/SUMIF(H5:H19,"&gt;0",B5:B19))</f>
        <v/>
      </c>
    </row>
    <row r="22">
      <c r="A22" s="8" t="inlineStr">
        <is>
          <t>SUMMARY</t>
        </is>
      </c>
      <c r="B22" s="9" t="n"/>
      <c r="C22" s="9" t="n"/>
      <c r="D22" s="9" t="n"/>
      <c r="E22" s="9" t="n"/>
      <c r="F22" s="9" t="n"/>
      <c r="G22" s="9" t="n"/>
      <c r="H22" s="9" t="n"/>
      <c r="I22" s="9" t="n"/>
      <c r="J22" s="9" t="n"/>
      <c r="K22" s="9" t="n"/>
      <c r="L22" s="9" t="n"/>
      <c r="M22" s="9" t="n"/>
      <c r="N22" s="9" t="n"/>
      <c r="O22" s="9" t="n"/>
    </row>
    <row r="23">
      <c r="A23" s="10" t="inlineStr">
        <is>
          <t>Total units</t>
        </is>
      </c>
      <c r="B23" s="45">
        <f>B20</f>
        <v/>
      </c>
    </row>
    <row r="24">
      <c r="A24" s="10" t="inlineStr">
        <is>
          <t>Total rentable square feet</t>
        </is>
      </c>
      <c r="B24" s="45">
        <f>D20</f>
        <v/>
      </c>
    </row>
    <row r="25">
      <c r="A25" s="10" t="inlineStr">
        <is>
          <t>Average unit size (SF)</t>
        </is>
      </c>
      <c r="B25" s="45">
        <f>C20</f>
        <v/>
      </c>
    </row>
    <row r="26">
      <c r="A26" s="10" t="inlineStr">
        <is>
          <t>Occupied units</t>
        </is>
      </c>
      <c r="B26" s="45">
        <f>E20</f>
        <v/>
      </c>
    </row>
    <row r="27">
      <c r="A27" s="10" t="inlineStr">
        <is>
          <t>Physical occupancy</t>
        </is>
      </c>
      <c r="B27" s="46">
        <f>IF(B20=0,0,E20/B20)</f>
        <v/>
      </c>
    </row>
    <row r="28">
      <c r="A28" s="10" t="inlineStr">
        <is>
          <t>In-place gross rent (annual)</t>
        </is>
      </c>
      <c r="B28" s="24">
        <f>I20</f>
        <v/>
      </c>
    </row>
    <row r="29">
      <c r="A29" s="10" t="inlineStr">
        <is>
          <t>Gross potential rent at market (annual)</t>
        </is>
      </c>
      <c r="B29" s="24">
        <f>J20</f>
        <v/>
      </c>
    </row>
    <row r="30">
      <c r="A30" s="10" t="inlineStr">
        <is>
          <t>Loss to lease (annual)</t>
        </is>
      </c>
      <c r="B30" s="24">
        <f>K20</f>
        <v/>
      </c>
    </row>
    <row r="31">
      <c r="A31" s="10" t="inlineStr">
        <is>
          <t>Loss to lease (% of market)</t>
        </is>
      </c>
      <c r="B31" s="46">
        <f>L20</f>
        <v/>
      </c>
    </row>
    <row r="32">
      <c r="A32" s="10" t="inlineStr">
        <is>
          <t>Average in-place rent (per unit, per month)</t>
        </is>
      </c>
      <c r="B32" s="47">
        <f>F20</f>
        <v/>
      </c>
    </row>
    <row r="33">
      <c r="A33" s="10" t="inlineStr">
        <is>
          <t>Average market rent (per unit, per month)</t>
        </is>
      </c>
      <c r="B33" s="47">
        <f>G20</f>
        <v/>
      </c>
    </row>
    <row r="34">
      <c r="A34" s="10" t="inlineStr">
        <is>
          <t>Average in-place rent PSF (per month)</t>
        </is>
      </c>
      <c r="B34" s="48">
        <f>M20</f>
        <v/>
      </c>
    </row>
    <row r="35">
      <c r="A35" s="10" t="inlineStr">
        <is>
          <t>Average market rent PSF (per month)</t>
        </is>
      </c>
      <c r="B35" s="48">
        <f>N20</f>
        <v/>
      </c>
    </row>
    <row r="36">
      <c r="A36" s="10" t="inlineStr">
        <is>
          <t>Weighted average post-renovation premium (per unit, per month)</t>
        </is>
      </c>
      <c r="B36" s="47">
        <f>O20</f>
        <v/>
      </c>
    </row>
    <row r="38">
      <c r="A38" s="4" t="inlineStr">
        <is>
          <t>Building this from a unit-level rent roll: pivot your roll by floor plan, then paste units, average square feet, occupied units, average in-place rent and market rent into the rows above.</t>
        </is>
      </c>
    </row>
    <row r="39">
      <c r="A39" s="4" t="inlineStr">
        <is>
          <t>Market rent is the rent an unrenovated unit achieves today. Post-reno rent is what the same unit achieves after your scope. The difference is the renovation premium, and it is incremental to market.</t>
        </is>
      </c>
    </row>
  </sheetData>
  <pageMargins left="0.4" right="0.4" top="0.5" bottom="0.5" header="0.5" footer="0.5"/>
  <pageSetup orientation="landscape" fitToHeight="0" fitToWidth="1"/>
  <headerFooter>
    <oddHeader/>
    <oddFooter>&amp;L&amp;8 &amp;K808080Altyst multifamily underwriting model&amp;R&amp;8 &amp;K808080Page &amp;P of &amp;N</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I40"/>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4" customWidth="1" min="1" max="1"/>
    <col width="14" customWidth="1" min="2" max="2"/>
    <col width="9" customWidth="1" min="3" max="3"/>
    <col width="14" customWidth="1" min="4" max="4"/>
    <col width="14" customWidth="1" min="5" max="5"/>
    <col width="16" customWidth="1" min="6" max="6"/>
    <col width="11" customWidth="1" min="7" max="7"/>
    <col width="10" customWidth="1" min="8" max="8"/>
    <col width="46" customWidth="1" min="9" max="9"/>
  </cols>
  <sheetData>
    <row r="1">
      <c r="A1" s="1" t="inlineStr">
        <is>
          <t>T-12 Normalization</t>
        </is>
      </c>
    </row>
    <row r="2">
      <c r="A2" s="2" t="inlineStr">
        <is>
          <t>Trailing actuals, annualized, then adjusted to the year-one expenses you will actually run.</t>
        </is>
      </c>
    </row>
    <row r="3">
      <c r="A3" s="7" t="n"/>
      <c r="B3" s="7" t="n"/>
      <c r="C3" s="7" t="n"/>
      <c r="D3" s="7" t="n"/>
      <c r="E3" s="7" t="n"/>
      <c r="F3" s="7" t="n"/>
      <c r="G3" s="7" t="n"/>
      <c r="H3" s="7" t="n"/>
      <c r="I3" s="7" t="n"/>
    </row>
    <row r="4">
      <c r="A4" s="29" t="inlineStr">
        <is>
          <t>Line item</t>
        </is>
      </c>
      <c r="B4" s="30" t="inlineStr">
        <is>
          <t>Trailing actual</t>
        </is>
      </c>
      <c r="C4" s="30" t="inlineStr">
        <is>
          <t>Months</t>
        </is>
      </c>
      <c r="D4" s="30" t="inlineStr">
        <is>
          <t>Annualized</t>
        </is>
      </c>
      <c r="E4" s="30" t="inlineStr">
        <is>
          <t>Adjustment</t>
        </is>
      </c>
      <c r="F4" s="30" t="inlineStr">
        <is>
          <t>Underwritten Yr 1</t>
        </is>
      </c>
      <c r="G4" s="30" t="inlineStr">
        <is>
          <t>Per unit</t>
        </is>
      </c>
      <c r="H4" s="30" t="inlineStr">
        <is>
          <t>% of EGI</t>
        </is>
      </c>
      <c r="I4" s="30" t="inlineStr">
        <is>
          <t>Note</t>
        </is>
      </c>
    </row>
    <row r="5">
      <c r="A5" s="8" t="inlineStr">
        <is>
          <t>INCOME (reference only, the model runs off the Rent Roll)</t>
        </is>
      </c>
      <c r="B5" s="9" t="n"/>
      <c r="C5" s="9" t="n"/>
      <c r="D5" s="9" t="n"/>
      <c r="E5" s="9" t="n"/>
      <c r="F5" s="9" t="n"/>
      <c r="G5" s="9" t="n"/>
      <c r="H5" s="9" t="n"/>
      <c r="I5" s="9" t="n"/>
    </row>
    <row r="6">
      <c r="A6" s="10" t="inlineStr">
        <is>
          <t>Gross rent collected</t>
        </is>
      </c>
      <c r="B6" s="15" t="n">
        <v>2180000</v>
      </c>
      <c r="C6" s="12" t="n">
        <v>12</v>
      </c>
      <c r="D6" s="16">
        <f>IF(C6=0,0,B6*12/C6)</f>
        <v/>
      </c>
      <c r="E6" s="15" t="n">
        <v>0</v>
      </c>
      <c r="F6" s="16">
        <f>D6+E6</f>
        <v/>
      </c>
      <c r="G6" s="16">
        <f>IF('Rent Roll'!B23=0,0,F6/'Rent Roll'!B23)</f>
        <v/>
      </c>
      <c r="H6" s="49">
        <f>IF('Pro Forma'!B29=0,0,F6/'Pro Forma'!B29)</f>
        <v/>
      </c>
      <c r="I6" s="14" t="inlineStr">
        <is>
          <t>Compare with in-place gross rent on the Rent Roll.</t>
        </is>
      </c>
    </row>
    <row r="7">
      <c r="A7" s="10" t="inlineStr">
        <is>
          <t>Other income collected</t>
        </is>
      </c>
      <c r="B7" s="15" t="n">
        <v>118000</v>
      </c>
      <c r="C7" s="12" t="n">
        <v>12</v>
      </c>
      <c r="D7" s="16">
        <f>IF(C7=0,0,B7*12/C7)</f>
        <v/>
      </c>
      <c r="E7" s="15" t="n">
        <v>0</v>
      </c>
      <c r="F7" s="16">
        <f>D7+E7</f>
        <v/>
      </c>
      <c r="G7" s="16">
        <f>IF('Rent Roll'!B23=0,0,F7/'Rent Roll'!B23)</f>
        <v/>
      </c>
      <c r="H7" s="49">
        <f>IF('Pro Forma'!B29=0,0,F7/'Pro Forma'!B29)</f>
        <v/>
      </c>
      <c r="I7" s="14" t="inlineStr">
        <is>
          <t>Compare with the other income block on Assumptions.</t>
        </is>
      </c>
    </row>
    <row r="8">
      <c r="A8" s="10" t="inlineStr">
        <is>
          <t>Vacancy loss</t>
        </is>
      </c>
      <c r="B8" s="15" t="n">
        <v>160000</v>
      </c>
      <c r="C8" s="12" t="n">
        <v>12</v>
      </c>
      <c r="D8" s="16">
        <f>IF(C8=0,0,B8*12/C8)</f>
        <v/>
      </c>
      <c r="E8" s="15" t="n">
        <v>0</v>
      </c>
      <c r="F8" s="16">
        <f>D8+E8</f>
        <v/>
      </c>
      <c r="G8" s="16">
        <f>IF('Rent Roll'!B23=0,0,F8/'Rent Roll'!B23)</f>
        <v/>
      </c>
      <c r="H8" s="49">
        <f>IF('Pro Forma'!B29=0,0,F8/'Pro Forma'!B29)</f>
        <v/>
      </c>
      <c r="I8" s="14" t="inlineStr">
        <is>
          <t>Enter as a positive number.</t>
        </is>
      </c>
    </row>
    <row r="9">
      <c r="A9" s="10" t="inlineStr">
        <is>
          <t>Concessions</t>
        </is>
      </c>
      <c r="B9" s="15" t="n">
        <v>22000</v>
      </c>
      <c r="C9" s="12" t="n">
        <v>12</v>
      </c>
      <c r="D9" s="16">
        <f>IF(C9=0,0,B9*12/C9)</f>
        <v/>
      </c>
      <c r="E9" s="15" t="n">
        <v>0</v>
      </c>
      <c r="F9" s="16">
        <f>D9+E9</f>
        <v/>
      </c>
      <c r="G9" s="16">
        <f>IF('Rent Roll'!B23=0,0,F9/'Rent Roll'!B23)</f>
        <v/>
      </c>
      <c r="H9" s="49">
        <f>IF('Pro Forma'!B29=0,0,F9/'Pro Forma'!B29)</f>
        <v/>
      </c>
      <c r="I9" s="14" t="inlineStr"/>
    </row>
    <row r="10">
      <c r="A10" s="10" t="inlineStr">
        <is>
          <t>Bad debt</t>
        </is>
      </c>
      <c r="B10" s="15" t="n">
        <v>20000</v>
      </c>
      <c r="C10" s="12" t="n">
        <v>12</v>
      </c>
      <c r="D10" s="16">
        <f>IF(C10=0,0,B10*12/C10)</f>
        <v/>
      </c>
      <c r="E10" s="15" t="n">
        <v>0</v>
      </c>
      <c r="F10" s="16">
        <f>D10+E10</f>
        <v/>
      </c>
      <c r="G10" s="16">
        <f>IF('Rent Roll'!B23=0,0,F10/'Rent Roll'!B23)</f>
        <v/>
      </c>
      <c r="H10" s="49">
        <f>IF('Pro Forma'!B29=0,0,F10/'Pro Forma'!B29)</f>
        <v/>
      </c>
      <c r="I10" s="14" t="inlineStr"/>
    </row>
    <row r="11">
      <c r="A11" s="39" t="inlineStr">
        <is>
          <t>Trailing effective gross income</t>
        </is>
      </c>
      <c r="B11" s="9" t="n"/>
      <c r="C11" s="9" t="n"/>
      <c r="D11" s="42">
        <f>D6+D7-D8-D9-D10</f>
        <v/>
      </c>
      <c r="E11" s="9" t="n"/>
      <c r="F11" s="42">
        <f>F6+F7-F8-F9-F10</f>
        <v/>
      </c>
      <c r="G11" s="42">
        <f>IF('Rent Roll'!B23=0,0,F11/'Rent Roll'!B23)</f>
        <v/>
      </c>
      <c r="H11" s="9" t="n"/>
      <c r="I11" s="9" t="n"/>
    </row>
    <row r="13">
      <c r="A13" s="8" t="inlineStr">
        <is>
          <t>OPERATING EXPENSES: NON-CONTROLLABLE</t>
        </is>
      </c>
      <c r="B13" s="9" t="n"/>
      <c r="C13" s="9" t="n"/>
      <c r="D13" s="9" t="n"/>
      <c r="E13" s="9" t="n"/>
      <c r="F13" s="9" t="n"/>
      <c r="G13" s="9" t="n"/>
      <c r="H13" s="9" t="n"/>
      <c r="I13" s="9" t="n"/>
    </row>
    <row r="14">
      <c r="A14" s="10" t="inlineStr">
        <is>
          <t>Real estate taxes</t>
        </is>
      </c>
      <c r="B14" s="15" t="n">
        <v>198000</v>
      </c>
      <c r="C14" s="12" t="n">
        <v>12</v>
      </c>
      <c r="D14" s="16">
        <f>IF(C14=0,0,B14*12/C14)</f>
        <v/>
      </c>
      <c r="E14" s="15" t="n">
        <v>90000</v>
      </c>
      <c r="F14" s="24">
        <f>D14+E14</f>
        <v/>
      </c>
      <c r="G14" s="16">
        <f>IF('Rent Roll'!B23=0,0,F14/'Rent Roll'!B23)</f>
        <v/>
      </c>
      <c r="H14" s="49">
        <f>IF('Pro Forma'!B29=0,0,F14/'Pro Forma'!B29)</f>
        <v/>
      </c>
      <c r="I14" s="14" t="inlineStr">
        <is>
          <t>Reassessment on sale. See the check at the bottom of this sheet.</t>
        </is>
      </c>
    </row>
    <row r="15">
      <c r="A15" s="10" t="inlineStr">
        <is>
          <t>Insurance</t>
        </is>
      </c>
      <c r="B15" s="15" t="n">
        <v>82000</v>
      </c>
      <c r="C15" s="12" t="n">
        <v>12</v>
      </c>
      <c r="D15" s="16">
        <f>IF(C15=0,0,B15*12/C15)</f>
        <v/>
      </c>
      <c r="E15" s="15" t="n">
        <v>26000</v>
      </c>
      <c r="F15" s="24">
        <f>D15+E15</f>
        <v/>
      </c>
      <c r="G15" s="16">
        <f>IF('Rent Roll'!B23=0,0,F15/'Rent Roll'!B23)</f>
        <v/>
      </c>
      <c r="H15" s="49">
        <f>IF('Pro Forma'!B29=0,0,F15/'Pro Forma'!B29)</f>
        <v/>
      </c>
      <c r="I15" s="14" t="inlineStr">
        <is>
          <t>Use the quote you actually hold, not the seller's expiring policy.</t>
        </is>
      </c>
    </row>
    <row r="16">
      <c r="A16" s="39" t="inlineStr">
        <is>
          <t>Subtotal non-controllable</t>
        </is>
      </c>
      <c r="B16" s="9" t="n"/>
      <c r="C16" s="9" t="n"/>
      <c r="D16" s="9" t="n"/>
      <c r="E16" s="9" t="n"/>
      <c r="F16" s="42">
        <f>SUM(F14:F15)</f>
        <v/>
      </c>
      <c r="G16" s="42">
        <f>IF('Rent Roll'!B23=0,0,F16/'Rent Roll'!B23)</f>
        <v/>
      </c>
      <c r="H16" s="43">
        <f>IF('Pro Forma'!B29=0,0,F16/'Pro Forma'!B29)</f>
        <v/>
      </c>
      <c r="I16" s="9" t="n"/>
    </row>
    <row r="18">
      <c r="A18" s="8" t="inlineStr">
        <is>
          <t>OPERATING EXPENSES: CONTROLLABLE</t>
        </is>
      </c>
      <c r="B18" s="9" t="n"/>
      <c r="C18" s="9" t="n"/>
      <c r="D18" s="9" t="n"/>
      <c r="E18" s="9" t="n"/>
      <c r="F18" s="9" t="n"/>
      <c r="G18" s="9" t="n"/>
      <c r="H18" s="9" t="n"/>
      <c r="I18" s="9" t="n"/>
    </row>
    <row r="19">
      <c r="A19" s="10" t="inlineStr">
        <is>
          <t>Utilities</t>
        </is>
      </c>
      <c r="B19" s="15" t="n">
        <v>91200</v>
      </c>
      <c r="C19" s="12" t="n">
        <v>12</v>
      </c>
      <c r="D19" s="16">
        <f>IF(C19=0,0,B19*12/C19)</f>
        <v/>
      </c>
      <c r="E19" s="15" t="n">
        <v>2400</v>
      </c>
      <c r="F19" s="24">
        <f>D19+E19</f>
        <v/>
      </c>
      <c r="G19" s="16">
        <f>IF('Rent Roll'!B23=0,0,F19/'Rent Roll'!B23)</f>
        <v/>
      </c>
      <c r="H19" s="49">
        <f>IF('Pro Forma'!B29=0,0,F19/'Pro Forma'!B29)</f>
        <v/>
      </c>
      <c r="I19" s="14" t="inlineStr"/>
    </row>
    <row r="20">
      <c r="A20" s="10" t="inlineStr">
        <is>
          <t>Repairs and maintenance</t>
        </is>
      </c>
      <c r="B20" s="15" t="n">
        <v>96000</v>
      </c>
      <c r="C20" s="12" t="n">
        <v>12</v>
      </c>
      <c r="D20" s="16">
        <f>IF(C20=0,0,B20*12/C20)</f>
        <v/>
      </c>
      <c r="E20" s="15" t="n">
        <v>-12000</v>
      </c>
      <c r="F20" s="24">
        <f>D20+E20</f>
        <v/>
      </c>
      <c r="G20" s="16">
        <f>IF('Rent Roll'!B23=0,0,F20/'Rent Roll'!B23)</f>
        <v/>
      </c>
      <c r="H20" s="49">
        <f>IF('Pro Forma'!B29=0,0,F20/'Pro Forma'!B29)</f>
        <v/>
      </c>
      <c r="I20" s="14" t="inlineStr"/>
    </row>
    <row r="21">
      <c r="A21" s="10" t="inlineStr">
        <is>
          <t>Contract services</t>
        </is>
      </c>
      <c r="B21" s="15" t="n">
        <v>41000</v>
      </c>
      <c r="C21" s="12" t="n">
        <v>12</v>
      </c>
      <c r="D21" s="16">
        <f>IF(C21=0,0,B21*12/C21)</f>
        <v/>
      </c>
      <c r="E21" s="15" t="n">
        <v>2200</v>
      </c>
      <c r="F21" s="24">
        <f>D21+E21</f>
        <v/>
      </c>
      <c r="G21" s="16">
        <f>IF('Rent Roll'!B23=0,0,F21/'Rent Roll'!B23)</f>
        <v/>
      </c>
      <c r="H21" s="49">
        <f>IF('Pro Forma'!B29=0,0,F21/'Pro Forma'!B29)</f>
        <v/>
      </c>
      <c r="I21" s="14" t="inlineStr"/>
    </row>
    <row r="22">
      <c r="A22" s="10" t="inlineStr">
        <is>
          <t>Turnover and make ready</t>
        </is>
      </c>
      <c r="B22" s="15" t="n">
        <v>39000</v>
      </c>
      <c r="C22" s="12" t="n">
        <v>12</v>
      </c>
      <c r="D22" s="16">
        <f>IF(C22=0,0,B22*12/C22)</f>
        <v/>
      </c>
      <c r="E22" s="15" t="n">
        <v>9000</v>
      </c>
      <c r="F22" s="24">
        <f>D22+E22</f>
        <v/>
      </c>
      <c r="G22" s="16">
        <f>IF('Rent Roll'!B23=0,0,F22/'Rent Roll'!B23)</f>
        <v/>
      </c>
      <c r="H22" s="49">
        <f>IF('Pro Forma'!B29=0,0,F22/'Pro Forma'!B29)</f>
        <v/>
      </c>
      <c r="I22" s="14" t="inlineStr">
        <is>
          <t>Scale this with your renovation and turnover assumptions.</t>
        </is>
      </c>
    </row>
    <row r="23">
      <c r="A23" s="10" t="inlineStr">
        <is>
          <t>Payroll and benefits</t>
        </is>
      </c>
      <c r="B23" s="15" t="n">
        <v>141000</v>
      </c>
      <c r="C23" s="12" t="n">
        <v>12</v>
      </c>
      <c r="D23" s="16">
        <f>IF(C23=0,0,B23*12/C23)</f>
        <v/>
      </c>
      <c r="E23" s="15" t="n">
        <v>9000</v>
      </c>
      <c r="F23" s="24">
        <f>D23+E23</f>
        <v/>
      </c>
      <c r="G23" s="16">
        <f>IF('Rent Roll'!B23=0,0,F23/'Rent Roll'!B23)</f>
        <v/>
      </c>
      <c r="H23" s="49">
        <f>IF('Pro Forma'!B29=0,0,F23/'Pro Forma'!B29)</f>
        <v/>
      </c>
      <c r="I23" s="14" t="inlineStr">
        <is>
          <t>Normalize to the staffing plan you will run, not the seller's.</t>
        </is>
      </c>
    </row>
    <row r="24">
      <c r="A24" s="10" t="inlineStr">
        <is>
          <t>Marketing and leasing</t>
        </is>
      </c>
      <c r="B24" s="15" t="n">
        <v>24000</v>
      </c>
      <c r="C24" s="12" t="n">
        <v>12</v>
      </c>
      <c r="D24" s="16">
        <f>IF(C24=0,0,B24*12/C24)</f>
        <v/>
      </c>
      <c r="E24" s="15" t="n">
        <v>2400</v>
      </c>
      <c r="F24" s="24">
        <f>D24+E24</f>
        <v/>
      </c>
      <c r="G24" s="16">
        <f>IF('Rent Roll'!B23=0,0,F24/'Rent Roll'!B23)</f>
        <v/>
      </c>
      <c r="H24" s="49">
        <f>IF('Pro Forma'!B29=0,0,F24/'Pro Forma'!B29)</f>
        <v/>
      </c>
      <c r="I24" s="14" t="inlineStr"/>
    </row>
    <row r="25">
      <c r="A25" s="10" t="inlineStr">
        <is>
          <t>General and administrative</t>
        </is>
      </c>
      <c r="B25" s="15" t="n">
        <v>31000</v>
      </c>
      <c r="C25" s="12" t="n">
        <v>12</v>
      </c>
      <c r="D25" s="16">
        <f>IF(C25=0,0,B25*12/C25)</f>
        <v/>
      </c>
      <c r="E25" s="15" t="n">
        <v>2600</v>
      </c>
      <c r="F25" s="24">
        <f>D25+E25</f>
        <v/>
      </c>
      <c r="G25" s="16">
        <f>IF('Rent Roll'!B23=0,0,F25/'Rent Roll'!B23)</f>
        <v/>
      </c>
      <c r="H25" s="49">
        <f>IF('Pro Forma'!B29=0,0,F25/'Pro Forma'!B29)</f>
        <v/>
      </c>
      <c r="I25" s="14" t="inlineStr"/>
    </row>
    <row r="26">
      <c r="A26" s="10" t="inlineStr">
        <is>
          <t>Other operating</t>
        </is>
      </c>
      <c r="B26" s="15" t="n">
        <v>18000</v>
      </c>
      <c r="C26" s="12" t="n">
        <v>12</v>
      </c>
      <c r="D26" s="16">
        <f>IF(C26=0,0,B26*12/C26)</f>
        <v/>
      </c>
      <c r="E26" s="15" t="n">
        <v>-2400</v>
      </c>
      <c r="F26" s="24">
        <f>D26+E26</f>
        <v/>
      </c>
      <c r="G26" s="16">
        <f>IF('Rent Roll'!B23=0,0,F26/'Rent Roll'!B23)</f>
        <v/>
      </c>
      <c r="H26" s="49">
        <f>IF('Pro Forma'!B29=0,0,F26/'Pro Forma'!B29)</f>
        <v/>
      </c>
      <c r="I26" s="14" t="inlineStr"/>
    </row>
    <row r="27">
      <c r="A27" s="39" t="inlineStr">
        <is>
          <t>Subtotal controllable</t>
        </is>
      </c>
      <c r="B27" s="9" t="n"/>
      <c r="C27" s="9" t="n"/>
      <c r="D27" s="9" t="n"/>
      <c r="E27" s="9" t="n"/>
      <c r="F27" s="42">
        <f>SUM(F19:F26)</f>
        <v/>
      </c>
      <c r="G27" s="42">
        <f>IF('Rent Roll'!B23=0,0,F27/'Rent Roll'!B23)</f>
        <v/>
      </c>
      <c r="H27" s="43">
        <f>IF('Pro Forma'!B29=0,0,F27/'Pro Forma'!B29)</f>
        <v/>
      </c>
      <c r="I27" s="9" t="n"/>
    </row>
    <row r="29">
      <c r="A29" s="50" t="inlineStr">
        <is>
          <t>TOTAL OPERATING EXPENSES BEFORE MANAGEMENT FEE</t>
        </is>
      </c>
      <c r="B29" s="51" t="n"/>
      <c r="C29" s="51" t="n"/>
      <c r="D29" s="51" t="n"/>
      <c r="E29" s="51" t="n"/>
      <c r="F29" s="52">
        <f>F16+F27</f>
        <v/>
      </c>
      <c r="G29" s="52">
        <f>IF('Rent Roll'!B23=0,0,F29/'Rent Roll'!B23)</f>
        <v/>
      </c>
      <c r="H29" s="53">
        <f>IF('Pro Forma'!B29=0,0,F29/'Pro Forma'!B29)</f>
        <v/>
      </c>
      <c r="I29" s="51" t="n"/>
    </row>
    <row r="30">
      <c r="A30" s="10" t="inlineStr">
        <is>
          <t>Property management fee</t>
        </is>
      </c>
      <c r="B30" s="15" t="n">
        <v>68000</v>
      </c>
      <c r="C30" s="12" t="n">
        <v>12</v>
      </c>
      <c r="D30" s="16">
        <f>IF(C30=0,0,B30*12/C30)</f>
        <v/>
      </c>
      <c r="F30" s="54" t="inlineStr">
        <is>
          <t>on Pro Forma</t>
        </is>
      </c>
      <c r="I30" s="14" t="inlineStr">
        <is>
          <t>Computed on the Pro Forma as a percentage of EGI, so it is excluded from the total above.</t>
        </is>
      </c>
    </row>
    <row r="32">
      <c r="A32" s="8" t="inlineStr">
        <is>
          <t>REAL ESTATE TAX REASSESSMENT CHECK</t>
        </is>
      </c>
      <c r="B32" s="9" t="n"/>
      <c r="C32" s="9" t="n"/>
      <c r="D32" s="9" t="n"/>
      <c r="E32" s="9" t="n"/>
      <c r="F32" s="9" t="n"/>
      <c r="G32" s="9" t="n"/>
      <c r="H32" s="9" t="n"/>
      <c r="I32" s="9" t="n"/>
    </row>
    <row r="33">
      <c r="A33" s="10" t="inlineStr">
        <is>
          <t>Assessment ratio (% of purchase price)</t>
        </is>
      </c>
      <c r="B33" s="26" t="n">
        <v>0.95</v>
      </c>
    </row>
    <row r="34">
      <c r="A34" s="10" t="inlineStr">
        <is>
          <t>Indicated assessed value</t>
        </is>
      </c>
      <c r="B34" s="16">
        <f>'Assumptions'!B15*B33</f>
        <v/>
      </c>
    </row>
    <row r="35">
      <c r="A35" s="10" t="inlineStr">
        <is>
          <t>Effective tax rate (millage, % of assessed value)</t>
        </is>
      </c>
      <c r="B35" s="18" t="n">
        <v>0.0145</v>
      </c>
    </row>
    <row r="36">
      <c r="A36" s="10" t="inlineStr">
        <is>
          <t>Indicated year-one real estate taxes</t>
        </is>
      </c>
      <c r="B36" s="24">
        <f>B34*B35</f>
        <v/>
      </c>
    </row>
    <row r="37">
      <c r="A37" s="10" t="inlineStr">
        <is>
          <t>Underwritten real estate taxes</t>
        </is>
      </c>
      <c r="B37" s="16">
        <f>F14</f>
        <v/>
      </c>
    </row>
    <row r="38">
      <c r="A38" s="10" t="inlineStr">
        <is>
          <t>Variance (underwritten less indicated)</t>
        </is>
      </c>
      <c r="B38" s="24">
        <f>B37-B36</f>
        <v/>
      </c>
    </row>
    <row r="40">
      <c r="A40" s="4" t="inlineStr">
        <is>
          <t>Many jurisdictions reassess to the sale price. If yours does, the trailing tax line is the wrong number and the reassessed figure above is the right one. Some states cap the annual increase, some phase it in over several years, and some do not reassess on transfer at all. Confirm before you rely on either.</t>
        </is>
      </c>
    </row>
  </sheetData>
  <pageMargins left="0.4" right="0.4" top="0.5" bottom="0.5" header="0.5" footer="0.5"/>
  <pageSetup orientation="landscape" fitToHeight="0" fitToWidth="1"/>
  <headerFooter>
    <oddHeader/>
    <oddFooter>&amp;L&amp;8 &amp;K808080Altyst multifamily underwriting model&amp;R&amp;8 &amp;K808080Page &amp;P of &amp;N</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M69"/>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46"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1" t="inlineStr">
        <is>
          <t>Operating Pro Forma</t>
        </is>
      </c>
    </row>
    <row r="2">
      <c r="A2" s="2" t="inlineStr">
        <is>
          <t>Ten hold years plus a forward year. The eleventh column is the exit basis only and is never a cash flow.</t>
        </is>
      </c>
    </row>
    <row r="3">
      <c r="A3" s="7" t="n"/>
      <c r="B3" s="7" t="n"/>
      <c r="C3" s="7" t="n"/>
      <c r="D3" s="7" t="n"/>
      <c r="E3" s="7" t="n"/>
      <c r="F3" s="7" t="n"/>
      <c r="G3" s="7" t="n"/>
      <c r="H3" s="7" t="n"/>
      <c r="I3" s="7" t="n"/>
      <c r="J3" s="7" t="n"/>
      <c r="K3" s="7" t="n"/>
      <c r="L3" s="7" t="n"/>
      <c r="M3" s="7" t="n"/>
    </row>
    <row r="4">
      <c r="A4" s="55" t="inlineStr">
        <is>
          <t>Year</t>
        </is>
      </c>
      <c r="B4" s="30" t="inlineStr">
        <is>
          <t>Year 1</t>
        </is>
      </c>
      <c r="C4" s="30" t="inlineStr">
        <is>
          <t>Year 2</t>
        </is>
      </c>
      <c r="D4" s="30" t="inlineStr">
        <is>
          <t>Year 3</t>
        </is>
      </c>
      <c r="E4" s="30" t="inlineStr">
        <is>
          <t>Year 4</t>
        </is>
      </c>
      <c r="F4" s="30" t="inlineStr">
        <is>
          <t>Year 5</t>
        </is>
      </c>
      <c r="G4" s="30" t="inlineStr">
        <is>
          <t>Year 6</t>
        </is>
      </c>
      <c r="H4" s="30" t="inlineStr">
        <is>
          <t>Year 7</t>
        </is>
      </c>
      <c r="I4" s="30" t="inlineStr">
        <is>
          <t>Year 8</t>
        </is>
      </c>
      <c r="J4" s="30" t="inlineStr">
        <is>
          <t>Year 9</t>
        </is>
      </c>
      <c r="K4" s="30" t="inlineStr">
        <is>
          <t>Year 10</t>
        </is>
      </c>
      <c r="L4" s="30" t="inlineStr">
        <is>
          <t>Yr 11 exit basis</t>
        </is>
      </c>
    </row>
    <row r="5">
      <c r="A5" s="4" t="inlineStr">
        <is>
          <t>Rent growth factor</t>
        </is>
      </c>
      <c r="B5" s="56">
        <f>(1+'Assumptions'!$B$26)^0</f>
        <v/>
      </c>
      <c r="C5" s="56">
        <f>(1+'Assumptions'!$B$26)^1</f>
        <v/>
      </c>
      <c r="D5" s="56">
        <f>(1+'Assumptions'!$B$26)^2</f>
        <v/>
      </c>
      <c r="E5" s="56">
        <f>(1+'Assumptions'!$B$26)^3</f>
        <v/>
      </c>
      <c r="F5" s="56">
        <f>(1+'Assumptions'!$B$26)^4</f>
        <v/>
      </c>
      <c r="G5" s="56">
        <f>(1+'Assumptions'!$B$26)^5</f>
        <v/>
      </c>
      <c r="H5" s="56">
        <f>(1+'Assumptions'!$B$26)^6</f>
        <v/>
      </c>
      <c r="I5" s="56">
        <f>(1+'Assumptions'!$B$26)^7</f>
        <v/>
      </c>
      <c r="J5" s="56">
        <f>(1+'Assumptions'!$B$26)^8</f>
        <v/>
      </c>
      <c r="K5" s="56">
        <f>(1+'Assumptions'!$B$26)^9</f>
        <v/>
      </c>
      <c r="L5" s="56">
        <f>(1+'Assumptions'!$B$26)^10</f>
        <v/>
      </c>
    </row>
    <row r="6">
      <c r="A6" s="4" t="inlineStr">
        <is>
          <t>Other income growth factor</t>
        </is>
      </c>
      <c r="B6" s="56">
        <f>(1+'Assumptions'!$B$27)^0</f>
        <v/>
      </c>
      <c r="C6" s="56">
        <f>(1+'Assumptions'!$B$27)^1</f>
        <v/>
      </c>
      <c r="D6" s="56">
        <f>(1+'Assumptions'!$B$27)^2</f>
        <v/>
      </c>
      <c r="E6" s="56">
        <f>(1+'Assumptions'!$B$27)^3</f>
        <v/>
      </c>
      <c r="F6" s="56">
        <f>(1+'Assumptions'!$B$27)^4</f>
        <v/>
      </c>
      <c r="G6" s="56">
        <f>(1+'Assumptions'!$B$27)^5</f>
        <v/>
      </c>
      <c r="H6" s="56">
        <f>(1+'Assumptions'!$B$27)^6</f>
        <v/>
      </c>
      <c r="I6" s="56">
        <f>(1+'Assumptions'!$B$27)^7</f>
        <v/>
      </c>
      <c r="J6" s="56">
        <f>(1+'Assumptions'!$B$27)^8</f>
        <v/>
      </c>
      <c r="K6" s="56">
        <f>(1+'Assumptions'!$B$27)^9</f>
        <v/>
      </c>
      <c r="L6" s="56">
        <f>(1+'Assumptions'!$B$27)^10</f>
        <v/>
      </c>
    </row>
    <row r="7">
      <c r="A7" s="4" t="inlineStr">
        <is>
          <t>Expense growth factor</t>
        </is>
      </c>
      <c r="B7" s="56">
        <f>(1+'Assumptions'!$B$28)^0</f>
        <v/>
      </c>
      <c r="C7" s="56">
        <f>(1+'Assumptions'!$B$28)^1</f>
        <v/>
      </c>
      <c r="D7" s="56">
        <f>(1+'Assumptions'!$B$28)^2</f>
        <v/>
      </c>
      <c r="E7" s="56">
        <f>(1+'Assumptions'!$B$28)^3</f>
        <v/>
      </c>
      <c r="F7" s="56">
        <f>(1+'Assumptions'!$B$28)^4</f>
        <v/>
      </c>
      <c r="G7" s="56">
        <f>(1+'Assumptions'!$B$28)^5</f>
        <v/>
      </c>
      <c r="H7" s="56">
        <f>(1+'Assumptions'!$B$28)^6</f>
        <v/>
      </c>
      <c r="I7" s="56">
        <f>(1+'Assumptions'!$B$28)^7</f>
        <v/>
      </c>
      <c r="J7" s="56">
        <f>(1+'Assumptions'!$B$28)^8</f>
        <v/>
      </c>
      <c r="K7" s="56">
        <f>(1+'Assumptions'!$B$28)^9</f>
        <v/>
      </c>
      <c r="L7" s="56">
        <f>(1+'Assumptions'!$B$28)^10</f>
        <v/>
      </c>
    </row>
    <row r="8">
      <c r="A8" s="4" t="inlineStr">
        <is>
          <t>Within hold period</t>
        </is>
      </c>
      <c r="B8" s="57">
        <f>IF(1&lt;='Assumptions'!$B$25,1,0)</f>
        <v/>
      </c>
      <c r="C8" s="57">
        <f>IF(2&lt;='Assumptions'!$B$25,1,0)</f>
        <v/>
      </c>
      <c r="D8" s="57">
        <f>IF(3&lt;='Assumptions'!$B$25,1,0)</f>
        <v/>
      </c>
      <c r="E8" s="57">
        <f>IF(4&lt;='Assumptions'!$B$25,1,0)</f>
        <v/>
      </c>
      <c r="F8" s="57">
        <f>IF(5&lt;='Assumptions'!$B$25,1,0)</f>
        <v/>
      </c>
      <c r="G8" s="57">
        <f>IF(6&lt;='Assumptions'!$B$25,1,0)</f>
        <v/>
      </c>
      <c r="H8" s="57">
        <f>IF(7&lt;='Assumptions'!$B$25,1,0)</f>
        <v/>
      </c>
      <c r="I8" s="57">
        <f>IF(8&lt;='Assumptions'!$B$25,1,0)</f>
        <v/>
      </c>
      <c r="J8" s="57">
        <f>IF(9&lt;='Assumptions'!$B$25,1,0)</f>
        <v/>
      </c>
      <c r="K8" s="57">
        <f>IF(10&lt;='Assumptions'!$B$25,1,0)</f>
        <v/>
      </c>
      <c r="L8" s="57">
        <f>IF(11&lt;='Assumptions'!$B$25,1,0)</f>
        <v/>
      </c>
    </row>
    <row r="10">
      <c r="A10" s="8" t="inlineStr">
        <is>
          <t>RENOVATION AND LEASE-UP DRIVERS</t>
        </is>
      </c>
      <c r="B10" s="9" t="n"/>
      <c r="C10" s="9" t="n"/>
      <c r="D10" s="9" t="n"/>
      <c r="E10" s="9" t="n"/>
      <c r="F10" s="9" t="n"/>
      <c r="G10" s="9" t="n"/>
      <c r="H10" s="9" t="n"/>
      <c r="I10" s="9" t="n"/>
      <c r="J10" s="9" t="n"/>
      <c r="K10" s="9" t="n"/>
      <c r="L10" s="9" t="n"/>
    </row>
    <row r="11">
      <c r="A11" s="10" t="inlineStr">
        <is>
          <t>Units renovated in year (input)</t>
        </is>
      </c>
      <c r="B11" s="12" t="n">
        <v>30</v>
      </c>
      <c r="C11" s="12" t="n">
        <v>36</v>
      </c>
      <c r="D11" s="12" t="n">
        <v>24</v>
      </c>
      <c r="E11" s="12" t="n">
        <v>0</v>
      </c>
      <c r="F11" s="12" t="n">
        <v>0</v>
      </c>
      <c r="G11" s="12" t="n">
        <v>0</v>
      </c>
      <c r="H11" s="12" t="n">
        <v>0</v>
      </c>
      <c r="I11" s="12" t="n">
        <v>0</v>
      </c>
      <c r="J11" s="12" t="n">
        <v>0</v>
      </c>
      <c r="K11" s="12" t="n">
        <v>0</v>
      </c>
      <c r="L11" s="13">
        <f>0</f>
        <v/>
      </c>
    </row>
    <row r="12">
      <c r="A12" s="10" t="inlineStr">
        <is>
          <t>Cumulative units renovated, end of year</t>
        </is>
      </c>
      <c r="B12" s="13">
        <f>B11</f>
        <v/>
      </c>
      <c r="C12" s="13">
        <f>B12+C11</f>
        <v/>
      </c>
      <c r="D12" s="13">
        <f>C12+D11</f>
        <v/>
      </c>
      <c r="E12" s="13">
        <f>D12+E11</f>
        <v/>
      </c>
      <c r="F12" s="13">
        <f>E12+F11</f>
        <v/>
      </c>
      <c r="G12" s="13">
        <f>F12+G11</f>
        <v/>
      </c>
      <c r="H12" s="13">
        <f>G12+H11</f>
        <v/>
      </c>
      <c r="I12" s="13">
        <f>H12+I11</f>
        <v/>
      </c>
      <c r="J12" s="13">
        <f>I12+J11</f>
        <v/>
      </c>
      <c r="K12" s="13">
        <f>J12+K11</f>
        <v/>
      </c>
      <c r="L12" s="13">
        <f>K12+L11</f>
        <v/>
      </c>
    </row>
    <row r="13">
      <c r="A13" s="10" t="inlineStr">
        <is>
          <t>Average renovated units in year</t>
        </is>
      </c>
      <c r="B13" s="58">
        <f>B12/2</f>
        <v/>
      </c>
      <c r="C13" s="58">
        <f>(B12+C12)/2</f>
        <v/>
      </c>
      <c r="D13" s="58">
        <f>(C12+D12)/2</f>
        <v/>
      </c>
      <c r="E13" s="58">
        <f>(D12+E12)/2</f>
        <v/>
      </c>
      <c r="F13" s="58">
        <f>(E12+F12)/2</f>
        <v/>
      </c>
      <c r="G13" s="58">
        <f>(F12+G12)/2</f>
        <v/>
      </c>
      <c r="H13" s="58">
        <f>(G12+H12)/2</f>
        <v/>
      </c>
      <c r="I13" s="58">
        <f>(H12+I12)/2</f>
        <v/>
      </c>
      <c r="J13" s="58">
        <f>(I12+J12)/2</f>
        <v/>
      </c>
      <c r="K13" s="58">
        <f>(J12+K12)/2</f>
        <v/>
      </c>
      <c r="L13" s="58">
        <f>(K12+L12)/2</f>
        <v/>
      </c>
    </row>
    <row r="14">
      <c r="A14" s="10" t="inlineStr">
        <is>
          <t>Minimum loss-to-lease capture implied by renovation</t>
        </is>
      </c>
      <c r="B14" s="59">
        <f>IF('Rent Roll'!$B$23=0,0,B13/'Rent Roll'!$B$23)</f>
        <v/>
      </c>
      <c r="C14" s="59">
        <f>IF('Rent Roll'!$B$23=0,0,C13/'Rent Roll'!$B$23)</f>
        <v/>
      </c>
      <c r="D14" s="59">
        <f>IF('Rent Roll'!$B$23=0,0,D13/'Rent Roll'!$B$23)</f>
        <v/>
      </c>
      <c r="E14" s="59">
        <f>IF('Rent Roll'!$B$23=0,0,E13/'Rent Roll'!$B$23)</f>
        <v/>
      </c>
      <c r="F14" s="59">
        <f>IF('Rent Roll'!$B$23=0,0,F13/'Rent Roll'!$B$23)</f>
        <v/>
      </c>
      <c r="G14" s="59">
        <f>IF('Rent Roll'!$B$23=0,0,G13/'Rent Roll'!$B$23)</f>
        <v/>
      </c>
      <c r="H14" s="59">
        <f>IF('Rent Roll'!$B$23=0,0,H13/'Rent Roll'!$B$23)</f>
        <v/>
      </c>
      <c r="I14" s="59">
        <f>IF('Rent Roll'!$B$23=0,0,I13/'Rent Roll'!$B$23)</f>
        <v/>
      </c>
      <c r="J14" s="59">
        <f>IF('Rent Roll'!$B$23=0,0,J13/'Rent Roll'!$B$23)</f>
        <v/>
      </c>
      <c r="K14" s="59">
        <f>IF('Rent Roll'!$B$23=0,0,K13/'Rent Roll'!$B$23)</f>
        <v/>
      </c>
      <c r="L14" s="59">
        <f>IF('Rent Roll'!$B$23=0,0,L13/'Rent Roll'!$B$23)</f>
        <v/>
      </c>
    </row>
    <row r="15">
      <c r="A15" s="10" t="inlineStr">
        <is>
          <t>Loss-to-lease capture (input)</t>
        </is>
      </c>
      <c r="B15" s="26" t="n">
        <v>0.2</v>
      </c>
      <c r="C15" s="26" t="n">
        <v>0.5</v>
      </c>
      <c r="D15" s="26" t="n">
        <v>0.75</v>
      </c>
      <c r="E15" s="26" t="n">
        <v>0.9</v>
      </c>
      <c r="F15" s="26" t="n">
        <v>1</v>
      </c>
      <c r="G15" s="26" t="n">
        <v>1</v>
      </c>
      <c r="H15" s="26" t="n">
        <v>1</v>
      </c>
      <c r="I15" s="26" t="n">
        <v>1</v>
      </c>
      <c r="J15" s="26" t="n">
        <v>1</v>
      </c>
      <c r="K15" s="26" t="n">
        <v>1</v>
      </c>
      <c r="L15" s="26" t="n">
        <v>1</v>
      </c>
    </row>
    <row r="16">
      <c r="A16" s="10" t="inlineStr">
        <is>
          <t>Vacancy rate applied</t>
        </is>
      </c>
      <c r="B16" s="49">
        <f>'Assumptions'!$B$31</f>
        <v/>
      </c>
      <c r="C16" s="49">
        <f>'Assumptions'!$B$32</f>
        <v/>
      </c>
      <c r="D16" s="49">
        <f>'Assumptions'!$B$33</f>
        <v/>
      </c>
      <c r="E16" s="49">
        <f>'Assumptions'!$B$33</f>
        <v/>
      </c>
      <c r="F16" s="49">
        <f>'Assumptions'!$B$33</f>
        <v/>
      </c>
      <c r="G16" s="49">
        <f>'Assumptions'!$B$33</f>
        <v/>
      </c>
      <c r="H16" s="49">
        <f>'Assumptions'!$B$33</f>
        <v/>
      </c>
      <c r="I16" s="49">
        <f>'Assumptions'!$B$33</f>
        <v/>
      </c>
      <c r="J16" s="49">
        <f>'Assumptions'!$B$33</f>
        <v/>
      </c>
      <c r="K16" s="49">
        <f>'Assumptions'!$B$33</f>
        <v/>
      </c>
      <c r="L16" s="49">
        <f>'Assumptions'!$B$33</f>
        <v/>
      </c>
    </row>
    <row r="18">
      <c r="A18" s="8" t="inlineStr">
        <is>
          <t>INCOME</t>
        </is>
      </c>
      <c r="B18" s="9" t="n"/>
      <c r="C18" s="9" t="n"/>
      <c r="D18" s="9" t="n"/>
      <c r="E18" s="9" t="n"/>
      <c r="F18" s="9" t="n"/>
      <c r="G18" s="9" t="n"/>
      <c r="H18" s="9" t="n"/>
      <c r="I18" s="9" t="n"/>
      <c r="J18" s="9" t="n"/>
      <c r="K18" s="9" t="n"/>
      <c r="L18" s="9" t="n"/>
    </row>
    <row r="19">
      <c r="A19" s="10" t="inlineStr">
        <is>
          <t>Gross potential rent (at market)</t>
        </is>
      </c>
      <c r="B19" s="16">
        <f>'Rent Roll'!$B$29*B5</f>
        <v/>
      </c>
      <c r="C19" s="16">
        <f>'Rent Roll'!$B$29*C5</f>
        <v/>
      </c>
      <c r="D19" s="16">
        <f>'Rent Roll'!$B$29*D5</f>
        <v/>
      </c>
      <c r="E19" s="16">
        <f>'Rent Roll'!$B$29*E5</f>
        <v/>
      </c>
      <c r="F19" s="16">
        <f>'Rent Roll'!$B$29*F5</f>
        <v/>
      </c>
      <c r="G19" s="16">
        <f>'Rent Roll'!$B$29*G5</f>
        <v/>
      </c>
      <c r="H19" s="16">
        <f>'Rent Roll'!$B$29*H5</f>
        <v/>
      </c>
      <c r="I19" s="16">
        <f>'Rent Roll'!$B$29*I5</f>
        <v/>
      </c>
      <c r="J19" s="16">
        <f>'Rent Roll'!$B$29*J5</f>
        <v/>
      </c>
      <c r="K19" s="16">
        <f>'Rent Roll'!$B$29*K5</f>
        <v/>
      </c>
      <c r="L19" s="16">
        <f>'Rent Roll'!$B$29*L5</f>
        <v/>
      </c>
    </row>
    <row r="20">
      <c r="A20" s="10" t="inlineStr">
        <is>
          <t>Renovation premium</t>
        </is>
      </c>
      <c r="B20" s="16">
        <f>B13*'Assumptions'!$B$60*12*B5</f>
        <v/>
      </c>
      <c r="C20" s="16">
        <f>C13*'Assumptions'!$B$60*12*C5</f>
        <v/>
      </c>
      <c r="D20" s="16">
        <f>D13*'Assumptions'!$B$60*12*D5</f>
        <v/>
      </c>
      <c r="E20" s="16">
        <f>E13*'Assumptions'!$B$60*12*E5</f>
        <v/>
      </c>
      <c r="F20" s="16">
        <f>F13*'Assumptions'!$B$60*12*F5</f>
        <v/>
      </c>
      <c r="G20" s="16">
        <f>G13*'Assumptions'!$B$60*12*G5</f>
        <v/>
      </c>
      <c r="H20" s="16">
        <f>H13*'Assumptions'!$B$60*12*H5</f>
        <v/>
      </c>
      <c r="I20" s="16">
        <f>I13*'Assumptions'!$B$60*12*I5</f>
        <v/>
      </c>
      <c r="J20" s="16">
        <f>J13*'Assumptions'!$B$60*12*J5</f>
        <v/>
      </c>
      <c r="K20" s="16">
        <f>K13*'Assumptions'!$B$60*12*K5</f>
        <v/>
      </c>
      <c r="L20" s="16">
        <f>L13*'Assumptions'!$B$60*12*L5</f>
        <v/>
      </c>
    </row>
    <row r="21">
      <c r="A21" s="10" t="inlineStr">
        <is>
          <t>Loss to lease</t>
        </is>
      </c>
      <c r="B21" s="16">
        <f>-('Rent Roll'!$B$29-'Rent Roll'!$B$28)*(1-B15)*B5</f>
        <v/>
      </c>
      <c r="C21" s="16">
        <f>-('Rent Roll'!$B$29-'Rent Roll'!$B$28)*(1-C15)*C5</f>
        <v/>
      </c>
      <c r="D21" s="16">
        <f>-('Rent Roll'!$B$29-'Rent Roll'!$B$28)*(1-D15)*D5</f>
        <v/>
      </c>
      <c r="E21" s="16">
        <f>-('Rent Roll'!$B$29-'Rent Roll'!$B$28)*(1-E15)*E5</f>
        <v/>
      </c>
      <c r="F21" s="16">
        <f>-('Rent Roll'!$B$29-'Rent Roll'!$B$28)*(1-F15)*F5</f>
        <v/>
      </c>
      <c r="G21" s="16">
        <f>-('Rent Roll'!$B$29-'Rent Roll'!$B$28)*(1-G15)*G5</f>
        <v/>
      </c>
      <c r="H21" s="16">
        <f>-('Rent Roll'!$B$29-'Rent Roll'!$B$28)*(1-H15)*H5</f>
        <v/>
      </c>
      <c r="I21" s="16">
        <f>-('Rent Roll'!$B$29-'Rent Roll'!$B$28)*(1-I15)*I5</f>
        <v/>
      </c>
      <c r="J21" s="16">
        <f>-('Rent Roll'!$B$29-'Rent Roll'!$B$28)*(1-J15)*J5</f>
        <v/>
      </c>
      <c r="K21" s="16">
        <f>-('Rent Roll'!$B$29-'Rent Roll'!$B$28)*(1-K15)*K5</f>
        <v/>
      </c>
      <c r="L21" s="16">
        <f>-('Rent Roll'!$B$29-'Rent Roll'!$B$28)*(1-L15)*L5</f>
        <v/>
      </c>
    </row>
    <row r="22">
      <c r="A22" s="23" t="inlineStr">
        <is>
          <t>Gross scheduled rent</t>
        </is>
      </c>
      <c r="B22" s="60">
        <f>B19+B20+B21</f>
        <v/>
      </c>
      <c r="C22" s="60">
        <f>C19+C20+C21</f>
        <v/>
      </c>
      <c r="D22" s="60">
        <f>D19+D20+D21</f>
        <v/>
      </c>
      <c r="E22" s="60">
        <f>E19+E20+E21</f>
        <v/>
      </c>
      <c r="F22" s="60">
        <f>F19+F20+F21</f>
        <v/>
      </c>
      <c r="G22" s="60">
        <f>G19+G20+G21</f>
        <v/>
      </c>
      <c r="H22" s="60">
        <f>H19+H20+H21</f>
        <v/>
      </c>
      <c r="I22" s="60">
        <f>I19+I20+I21</f>
        <v/>
      </c>
      <c r="J22" s="60">
        <f>J19+J20+J21</f>
        <v/>
      </c>
      <c r="K22" s="60">
        <f>K19+K20+K21</f>
        <v/>
      </c>
      <c r="L22" s="60">
        <f>L19+L20+L21</f>
        <v/>
      </c>
    </row>
    <row r="23">
      <c r="A23" s="10" t="inlineStr">
        <is>
          <t>Vacancy</t>
        </is>
      </c>
      <c r="B23" s="16">
        <f>-(B19+B20)*B16</f>
        <v/>
      </c>
      <c r="C23" s="16">
        <f>-(C19+C20)*C16</f>
        <v/>
      </c>
      <c r="D23" s="16">
        <f>-(D19+D20)*D16</f>
        <v/>
      </c>
      <c r="E23" s="16">
        <f>-(E19+E20)*E16</f>
        <v/>
      </c>
      <c r="F23" s="16">
        <f>-(F19+F20)*F16</f>
        <v/>
      </c>
      <c r="G23" s="16">
        <f>-(G19+G20)*G16</f>
        <v/>
      </c>
      <c r="H23" s="16">
        <f>-(H19+H20)*H16</f>
        <v/>
      </c>
      <c r="I23" s="16">
        <f>-(I19+I20)*I16</f>
        <v/>
      </c>
      <c r="J23" s="16">
        <f>-(J19+J20)*J16</f>
        <v/>
      </c>
      <c r="K23" s="16">
        <f>-(K19+K20)*K16</f>
        <v/>
      </c>
      <c r="L23" s="16">
        <f>-(L19+L20)*L16</f>
        <v/>
      </c>
    </row>
    <row r="24">
      <c r="A24" s="10" t="inlineStr">
        <is>
          <t>Concessions</t>
        </is>
      </c>
      <c r="B24" s="16">
        <f>-(B19+B20)*'Assumptions'!$B$34</f>
        <v/>
      </c>
      <c r="C24" s="16">
        <f>-(C19+C20)*'Assumptions'!$B$34</f>
        <v/>
      </c>
      <c r="D24" s="16">
        <f>-(D19+D20)*'Assumptions'!$B$34</f>
        <v/>
      </c>
      <c r="E24" s="16">
        <f>-(E19+E20)*'Assumptions'!$B$34</f>
        <v/>
      </c>
      <c r="F24" s="16">
        <f>-(F19+F20)*'Assumptions'!$B$34</f>
        <v/>
      </c>
      <c r="G24" s="16">
        <f>-(G19+G20)*'Assumptions'!$B$34</f>
        <v/>
      </c>
      <c r="H24" s="16">
        <f>-(H19+H20)*'Assumptions'!$B$34</f>
        <v/>
      </c>
      <c r="I24" s="16">
        <f>-(I19+I20)*'Assumptions'!$B$34</f>
        <v/>
      </c>
      <c r="J24" s="16">
        <f>-(J19+J20)*'Assumptions'!$B$34</f>
        <v/>
      </c>
      <c r="K24" s="16">
        <f>-(K19+K20)*'Assumptions'!$B$34</f>
        <v/>
      </c>
      <c r="L24" s="16">
        <f>-(L19+L20)*'Assumptions'!$B$34</f>
        <v/>
      </c>
    </row>
    <row r="25">
      <c r="A25" s="10" t="inlineStr">
        <is>
          <t>Non-revenue units</t>
        </is>
      </c>
      <c r="B25" s="16">
        <f>-(B19+B20)*'Assumptions'!$B$35</f>
        <v/>
      </c>
      <c r="C25" s="16">
        <f>-(C19+C20)*'Assumptions'!$B$35</f>
        <v/>
      </c>
      <c r="D25" s="16">
        <f>-(D19+D20)*'Assumptions'!$B$35</f>
        <v/>
      </c>
      <c r="E25" s="16">
        <f>-(E19+E20)*'Assumptions'!$B$35</f>
        <v/>
      </c>
      <c r="F25" s="16">
        <f>-(F19+F20)*'Assumptions'!$B$35</f>
        <v/>
      </c>
      <c r="G25" s="16">
        <f>-(G19+G20)*'Assumptions'!$B$35</f>
        <v/>
      </c>
      <c r="H25" s="16">
        <f>-(H19+H20)*'Assumptions'!$B$35</f>
        <v/>
      </c>
      <c r="I25" s="16">
        <f>-(I19+I20)*'Assumptions'!$B$35</f>
        <v/>
      </c>
      <c r="J25" s="16">
        <f>-(J19+J20)*'Assumptions'!$B$35</f>
        <v/>
      </c>
      <c r="K25" s="16">
        <f>-(K19+K20)*'Assumptions'!$B$35</f>
        <v/>
      </c>
      <c r="L25" s="16">
        <f>-(L19+L20)*'Assumptions'!$B$35</f>
        <v/>
      </c>
    </row>
    <row r="26">
      <c r="A26" s="10" t="inlineStr">
        <is>
          <t>Bad debt</t>
        </is>
      </c>
      <c r="B26" s="16">
        <f>-(B22+B23+B24+B25)*'Assumptions'!$B$36</f>
        <v/>
      </c>
      <c r="C26" s="16">
        <f>-(C22+C23+C24+C25)*'Assumptions'!$B$36</f>
        <v/>
      </c>
      <c r="D26" s="16">
        <f>-(D22+D23+D24+D25)*'Assumptions'!$B$36</f>
        <v/>
      </c>
      <c r="E26" s="16">
        <f>-(E22+E23+E24+E25)*'Assumptions'!$B$36</f>
        <v/>
      </c>
      <c r="F26" s="16">
        <f>-(F22+F23+F24+F25)*'Assumptions'!$B$36</f>
        <v/>
      </c>
      <c r="G26" s="16">
        <f>-(G22+G23+G24+G25)*'Assumptions'!$B$36</f>
        <v/>
      </c>
      <c r="H26" s="16">
        <f>-(H22+H23+H24+H25)*'Assumptions'!$B$36</f>
        <v/>
      </c>
      <c r="I26" s="16">
        <f>-(I22+I23+I24+I25)*'Assumptions'!$B$36</f>
        <v/>
      </c>
      <c r="J26" s="16">
        <f>-(J22+J23+J24+J25)*'Assumptions'!$B$36</f>
        <v/>
      </c>
      <c r="K26" s="16">
        <f>-(K22+K23+K24+K25)*'Assumptions'!$B$36</f>
        <v/>
      </c>
      <c r="L26" s="16">
        <f>-(L22+L23+L24+L25)*'Assumptions'!$B$36</f>
        <v/>
      </c>
    </row>
    <row r="27">
      <c r="A27" s="23" t="inlineStr">
        <is>
          <t>Net rental income</t>
        </is>
      </c>
      <c r="B27" s="60">
        <f>B22+B23+B24+B25+B26</f>
        <v/>
      </c>
      <c r="C27" s="60">
        <f>C22+C23+C24+C25+C26</f>
        <v/>
      </c>
      <c r="D27" s="60">
        <f>D22+D23+D24+D25+D26</f>
        <v/>
      </c>
      <c r="E27" s="60">
        <f>E22+E23+E24+E25+E26</f>
        <v/>
      </c>
      <c r="F27" s="60">
        <f>F22+F23+F24+F25+F26</f>
        <v/>
      </c>
      <c r="G27" s="60">
        <f>G22+G23+G24+G25+G26</f>
        <v/>
      </c>
      <c r="H27" s="60">
        <f>H22+H23+H24+H25+H26</f>
        <v/>
      </c>
      <c r="I27" s="60">
        <f>I22+I23+I24+I25+I26</f>
        <v/>
      </c>
      <c r="J27" s="60">
        <f>J22+J23+J24+J25+J26</f>
        <v/>
      </c>
      <c r="K27" s="60">
        <f>K22+K23+K24+K25+K26</f>
        <v/>
      </c>
      <c r="L27" s="60">
        <f>L22+L23+L24+L25+L26</f>
        <v/>
      </c>
    </row>
    <row r="28">
      <c r="A28" s="10" t="inlineStr">
        <is>
          <t>Other income</t>
        </is>
      </c>
      <c r="B28" s="16">
        <f>('Assumptions'!$D$48+'Assumptions'!$D$47*(1-B16))*B6</f>
        <v/>
      </c>
      <c r="C28" s="16">
        <f>('Assumptions'!$D$48+'Assumptions'!$D$47*(1-C16))*C6</f>
        <v/>
      </c>
      <c r="D28" s="16">
        <f>('Assumptions'!$D$48+'Assumptions'!$D$47*(1-D16))*D6</f>
        <v/>
      </c>
      <c r="E28" s="16">
        <f>('Assumptions'!$D$48+'Assumptions'!$D$47*(1-E16))*E6</f>
        <v/>
      </c>
      <c r="F28" s="16">
        <f>('Assumptions'!$D$48+'Assumptions'!$D$47*(1-F16))*F6</f>
        <v/>
      </c>
      <c r="G28" s="16">
        <f>('Assumptions'!$D$48+'Assumptions'!$D$47*(1-G16))*G6</f>
        <v/>
      </c>
      <c r="H28" s="16">
        <f>('Assumptions'!$D$48+'Assumptions'!$D$47*(1-H16))*H6</f>
        <v/>
      </c>
      <c r="I28" s="16">
        <f>('Assumptions'!$D$48+'Assumptions'!$D$47*(1-I16))*I6</f>
        <v/>
      </c>
      <c r="J28" s="16">
        <f>('Assumptions'!$D$48+'Assumptions'!$D$47*(1-J16))*J6</f>
        <v/>
      </c>
      <c r="K28" s="16">
        <f>('Assumptions'!$D$48+'Assumptions'!$D$47*(1-K16))*K6</f>
        <v/>
      </c>
      <c r="L28" s="16">
        <f>('Assumptions'!$D$48+'Assumptions'!$D$47*(1-L16))*L6</f>
        <v/>
      </c>
    </row>
    <row r="29">
      <c r="A29" s="23" t="inlineStr">
        <is>
          <t>EFFECTIVE GROSS INCOME</t>
        </is>
      </c>
      <c r="B29" s="42">
        <f>B27+B28</f>
        <v/>
      </c>
      <c r="C29" s="42">
        <f>C27+C28</f>
        <v/>
      </c>
      <c r="D29" s="42">
        <f>D27+D28</f>
        <v/>
      </c>
      <c r="E29" s="42">
        <f>E27+E28</f>
        <v/>
      </c>
      <c r="F29" s="42">
        <f>F27+F28</f>
        <v/>
      </c>
      <c r="G29" s="42">
        <f>G27+G28</f>
        <v/>
      </c>
      <c r="H29" s="42">
        <f>H27+H28</f>
        <v/>
      </c>
      <c r="I29" s="42">
        <f>I27+I28</f>
        <v/>
      </c>
      <c r="J29" s="42">
        <f>J27+J28</f>
        <v/>
      </c>
      <c r="K29" s="42">
        <f>K27+K28</f>
        <v/>
      </c>
      <c r="L29" s="42">
        <f>L27+L28</f>
        <v/>
      </c>
    </row>
    <row r="31">
      <c r="A31" s="8" t="inlineStr">
        <is>
          <t>OPERATING EXPENSES</t>
        </is>
      </c>
      <c r="B31" s="9" t="n"/>
      <c r="C31" s="9" t="n"/>
      <c r="D31" s="9" t="n"/>
      <c r="E31" s="9" t="n"/>
      <c r="F31" s="9" t="n"/>
      <c r="G31" s="9" t="n"/>
      <c r="H31" s="9" t="n"/>
      <c r="I31" s="9" t="n"/>
      <c r="J31" s="9" t="n"/>
      <c r="K31" s="9" t="n"/>
      <c r="L31" s="9" t="n"/>
    </row>
    <row r="32">
      <c r="A32" s="10" t="inlineStr">
        <is>
          <t>Real estate taxes</t>
        </is>
      </c>
      <c r="B32" s="16">
        <f>'T12'!$F$14*B7</f>
        <v/>
      </c>
      <c r="C32" s="16">
        <f>'T12'!$F$14*C7</f>
        <v/>
      </c>
      <c r="D32" s="16">
        <f>'T12'!$F$14*D7</f>
        <v/>
      </c>
      <c r="E32" s="16">
        <f>'T12'!$F$14*E7</f>
        <v/>
      </c>
      <c r="F32" s="16">
        <f>'T12'!$F$14*F7</f>
        <v/>
      </c>
      <c r="G32" s="16">
        <f>'T12'!$F$14*G7</f>
        <v/>
      </c>
      <c r="H32" s="16">
        <f>'T12'!$F$14*H7</f>
        <v/>
      </c>
      <c r="I32" s="16">
        <f>'T12'!$F$14*I7</f>
        <v/>
      </c>
      <c r="J32" s="16">
        <f>'T12'!$F$14*J7</f>
        <v/>
      </c>
      <c r="K32" s="16">
        <f>'T12'!$F$14*K7</f>
        <v/>
      </c>
      <c r="L32" s="16">
        <f>'T12'!$F$14*L7</f>
        <v/>
      </c>
    </row>
    <row r="33">
      <c r="A33" s="10" t="inlineStr">
        <is>
          <t>Insurance</t>
        </is>
      </c>
      <c r="B33" s="16">
        <f>'T12'!$F$15*B7</f>
        <v/>
      </c>
      <c r="C33" s="16">
        <f>'T12'!$F$15*C7</f>
        <v/>
      </c>
      <c r="D33" s="16">
        <f>'T12'!$F$15*D7</f>
        <v/>
      </c>
      <c r="E33" s="16">
        <f>'T12'!$F$15*E7</f>
        <v/>
      </c>
      <c r="F33" s="16">
        <f>'T12'!$F$15*F7</f>
        <v/>
      </c>
      <c r="G33" s="16">
        <f>'T12'!$F$15*G7</f>
        <v/>
      </c>
      <c r="H33" s="16">
        <f>'T12'!$F$15*H7</f>
        <v/>
      </c>
      <c r="I33" s="16">
        <f>'T12'!$F$15*I7</f>
        <v/>
      </c>
      <c r="J33" s="16">
        <f>'T12'!$F$15*J7</f>
        <v/>
      </c>
      <c r="K33" s="16">
        <f>'T12'!$F$15*K7</f>
        <v/>
      </c>
      <c r="L33" s="16">
        <f>'T12'!$F$15*L7</f>
        <v/>
      </c>
    </row>
    <row r="34">
      <c r="A34" s="10" t="inlineStr">
        <is>
          <t>Utilities</t>
        </is>
      </c>
      <c r="B34" s="16">
        <f>'T12'!$F$19*B7</f>
        <v/>
      </c>
      <c r="C34" s="16">
        <f>'T12'!$F$19*C7</f>
        <v/>
      </c>
      <c r="D34" s="16">
        <f>'T12'!$F$19*D7</f>
        <v/>
      </c>
      <c r="E34" s="16">
        <f>'T12'!$F$19*E7</f>
        <v/>
      </c>
      <c r="F34" s="16">
        <f>'T12'!$F$19*F7</f>
        <v/>
      </c>
      <c r="G34" s="16">
        <f>'T12'!$F$19*G7</f>
        <v/>
      </c>
      <c r="H34" s="16">
        <f>'T12'!$F$19*H7</f>
        <v/>
      </c>
      <c r="I34" s="16">
        <f>'T12'!$F$19*I7</f>
        <v/>
      </c>
      <c r="J34" s="16">
        <f>'T12'!$F$19*J7</f>
        <v/>
      </c>
      <c r="K34" s="16">
        <f>'T12'!$F$19*K7</f>
        <v/>
      </c>
      <c r="L34" s="16">
        <f>'T12'!$F$19*L7</f>
        <v/>
      </c>
    </row>
    <row r="35">
      <c r="A35" s="10" t="inlineStr">
        <is>
          <t>Repairs and maintenance</t>
        </is>
      </c>
      <c r="B35" s="16">
        <f>'T12'!$F$20*B7</f>
        <v/>
      </c>
      <c r="C35" s="16">
        <f>'T12'!$F$20*C7</f>
        <v/>
      </c>
      <c r="D35" s="16">
        <f>'T12'!$F$20*D7</f>
        <v/>
      </c>
      <c r="E35" s="16">
        <f>'T12'!$F$20*E7</f>
        <v/>
      </c>
      <c r="F35" s="16">
        <f>'T12'!$F$20*F7</f>
        <v/>
      </c>
      <c r="G35" s="16">
        <f>'T12'!$F$20*G7</f>
        <v/>
      </c>
      <c r="H35" s="16">
        <f>'T12'!$F$20*H7</f>
        <v/>
      </c>
      <c r="I35" s="16">
        <f>'T12'!$F$20*I7</f>
        <v/>
      </c>
      <c r="J35" s="16">
        <f>'T12'!$F$20*J7</f>
        <v/>
      </c>
      <c r="K35" s="16">
        <f>'T12'!$F$20*K7</f>
        <v/>
      </c>
      <c r="L35" s="16">
        <f>'T12'!$F$20*L7</f>
        <v/>
      </c>
    </row>
    <row r="36">
      <c r="A36" s="10" t="inlineStr">
        <is>
          <t>Contract services</t>
        </is>
      </c>
      <c r="B36" s="16">
        <f>'T12'!$F$21*B7</f>
        <v/>
      </c>
      <c r="C36" s="16">
        <f>'T12'!$F$21*C7</f>
        <v/>
      </c>
      <c r="D36" s="16">
        <f>'T12'!$F$21*D7</f>
        <v/>
      </c>
      <c r="E36" s="16">
        <f>'T12'!$F$21*E7</f>
        <v/>
      </c>
      <c r="F36" s="16">
        <f>'T12'!$F$21*F7</f>
        <v/>
      </c>
      <c r="G36" s="16">
        <f>'T12'!$F$21*G7</f>
        <v/>
      </c>
      <c r="H36" s="16">
        <f>'T12'!$F$21*H7</f>
        <v/>
      </c>
      <c r="I36" s="16">
        <f>'T12'!$F$21*I7</f>
        <v/>
      </c>
      <c r="J36" s="16">
        <f>'T12'!$F$21*J7</f>
        <v/>
      </c>
      <c r="K36" s="16">
        <f>'T12'!$F$21*K7</f>
        <v/>
      </c>
      <c r="L36" s="16">
        <f>'T12'!$F$21*L7</f>
        <v/>
      </c>
    </row>
    <row r="37">
      <c r="A37" s="10" t="inlineStr">
        <is>
          <t>Turnover and make ready</t>
        </is>
      </c>
      <c r="B37" s="16">
        <f>'T12'!$F$22*B7</f>
        <v/>
      </c>
      <c r="C37" s="16">
        <f>'T12'!$F$22*C7</f>
        <v/>
      </c>
      <c r="D37" s="16">
        <f>'T12'!$F$22*D7</f>
        <v/>
      </c>
      <c r="E37" s="16">
        <f>'T12'!$F$22*E7</f>
        <v/>
      </c>
      <c r="F37" s="16">
        <f>'T12'!$F$22*F7</f>
        <v/>
      </c>
      <c r="G37" s="16">
        <f>'T12'!$F$22*G7</f>
        <v/>
      </c>
      <c r="H37" s="16">
        <f>'T12'!$F$22*H7</f>
        <v/>
      </c>
      <c r="I37" s="16">
        <f>'T12'!$F$22*I7</f>
        <v/>
      </c>
      <c r="J37" s="16">
        <f>'T12'!$F$22*J7</f>
        <v/>
      </c>
      <c r="K37" s="16">
        <f>'T12'!$F$22*K7</f>
        <v/>
      </c>
      <c r="L37" s="16">
        <f>'T12'!$F$22*L7</f>
        <v/>
      </c>
    </row>
    <row r="38">
      <c r="A38" s="10" t="inlineStr">
        <is>
          <t>Payroll and benefits</t>
        </is>
      </c>
      <c r="B38" s="16">
        <f>'T12'!$F$23*B7</f>
        <v/>
      </c>
      <c r="C38" s="16">
        <f>'T12'!$F$23*C7</f>
        <v/>
      </c>
      <c r="D38" s="16">
        <f>'T12'!$F$23*D7</f>
        <v/>
      </c>
      <c r="E38" s="16">
        <f>'T12'!$F$23*E7</f>
        <v/>
      </c>
      <c r="F38" s="16">
        <f>'T12'!$F$23*F7</f>
        <v/>
      </c>
      <c r="G38" s="16">
        <f>'T12'!$F$23*G7</f>
        <v/>
      </c>
      <c r="H38" s="16">
        <f>'T12'!$F$23*H7</f>
        <v/>
      </c>
      <c r="I38" s="16">
        <f>'T12'!$F$23*I7</f>
        <v/>
      </c>
      <c r="J38" s="16">
        <f>'T12'!$F$23*J7</f>
        <v/>
      </c>
      <c r="K38" s="16">
        <f>'T12'!$F$23*K7</f>
        <v/>
      </c>
      <c r="L38" s="16">
        <f>'T12'!$F$23*L7</f>
        <v/>
      </c>
    </row>
    <row r="39">
      <c r="A39" s="10" t="inlineStr">
        <is>
          <t>Marketing and leasing</t>
        </is>
      </c>
      <c r="B39" s="16">
        <f>'T12'!$F$24*B7</f>
        <v/>
      </c>
      <c r="C39" s="16">
        <f>'T12'!$F$24*C7</f>
        <v/>
      </c>
      <c r="D39" s="16">
        <f>'T12'!$F$24*D7</f>
        <v/>
      </c>
      <c r="E39" s="16">
        <f>'T12'!$F$24*E7</f>
        <v/>
      </c>
      <c r="F39" s="16">
        <f>'T12'!$F$24*F7</f>
        <v/>
      </c>
      <c r="G39" s="16">
        <f>'T12'!$F$24*G7</f>
        <v/>
      </c>
      <c r="H39" s="16">
        <f>'T12'!$F$24*H7</f>
        <v/>
      </c>
      <c r="I39" s="16">
        <f>'T12'!$F$24*I7</f>
        <v/>
      </c>
      <c r="J39" s="16">
        <f>'T12'!$F$24*J7</f>
        <v/>
      </c>
      <c r="K39" s="16">
        <f>'T12'!$F$24*K7</f>
        <v/>
      </c>
      <c r="L39" s="16">
        <f>'T12'!$F$24*L7</f>
        <v/>
      </c>
    </row>
    <row r="40">
      <c r="A40" s="10" t="inlineStr">
        <is>
          <t>General and administrative</t>
        </is>
      </c>
      <c r="B40" s="16">
        <f>'T12'!$F$25*B7</f>
        <v/>
      </c>
      <c r="C40" s="16">
        <f>'T12'!$F$25*C7</f>
        <v/>
      </c>
      <c r="D40" s="16">
        <f>'T12'!$F$25*D7</f>
        <v/>
      </c>
      <c r="E40" s="16">
        <f>'T12'!$F$25*E7</f>
        <v/>
      </c>
      <c r="F40" s="16">
        <f>'T12'!$F$25*F7</f>
        <v/>
      </c>
      <c r="G40" s="16">
        <f>'T12'!$F$25*G7</f>
        <v/>
      </c>
      <c r="H40" s="16">
        <f>'T12'!$F$25*H7</f>
        <v/>
      </c>
      <c r="I40" s="16">
        <f>'T12'!$F$25*I7</f>
        <v/>
      </c>
      <c r="J40" s="16">
        <f>'T12'!$F$25*J7</f>
        <v/>
      </c>
      <c r="K40" s="16">
        <f>'T12'!$F$25*K7</f>
        <v/>
      </c>
      <c r="L40" s="16">
        <f>'T12'!$F$25*L7</f>
        <v/>
      </c>
    </row>
    <row r="41">
      <c r="A41" s="10" t="inlineStr">
        <is>
          <t>Other operating</t>
        </is>
      </c>
      <c r="B41" s="16">
        <f>'T12'!$F$26*B7</f>
        <v/>
      </c>
      <c r="C41" s="16">
        <f>'T12'!$F$26*C7</f>
        <v/>
      </c>
      <c r="D41" s="16">
        <f>'T12'!$F$26*D7</f>
        <v/>
      </c>
      <c r="E41" s="16">
        <f>'T12'!$F$26*E7</f>
        <v/>
      </c>
      <c r="F41" s="16">
        <f>'T12'!$F$26*F7</f>
        <v/>
      </c>
      <c r="G41" s="16">
        <f>'T12'!$F$26*G7</f>
        <v/>
      </c>
      <c r="H41" s="16">
        <f>'T12'!$F$26*H7</f>
        <v/>
      </c>
      <c r="I41" s="16">
        <f>'T12'!$F$26*I7</f>
        <v/>
      </c>
      <c r="J41" s="16">
        <f>'T12'!$F$26*J7</f>
        <v/>
      </c>
      <c r="K41" s="16">
        <f>'T12'!$F$26*K7</f>
        <v/>
      </c>
      <c r="L41" s="16">
        <f>'T12'!$F$26*L7</f>
        <v/>
      </c>
    </row>
    <row r="42">
      <c r="A42" s="23" t="inlineStr">
        <is>
          <t>Operating expenses before management fee</t>
        </is>
      </c>
      <c r="B42" s="60">
        <f>SUM(B32:B41)</f>
        <v/>
      </c>
      <c r="C42" s="60">
        <f>SUM(C32:C41)</f>
        <v/>
      </c>
      <c r="D42" s="60">
        <f>SUM(D32:D41)</f>
        <v/>
      </c>
      <c r="E42" s="60">
        <f>SUM(E32:E41)</f>
        <v/>
      </c>
      <c r="F42" s="60">
        <f>SUM(F32:F41)</f>
        <v/>
      </c>
      <c r="G42" s="60">
        <f>SUM(G32:G41)</f>
        <v/>
      </c>
      <c r="H42" s="60">
        <f>SUM(H32:H41)</f>
        <v/>
      </c>
      <c r="I42" s="60">
        <f>SUM(I32:I41)</f>
        <v/>
      </c>
      <c r="J42" s="60">
        <f>SUM(J32:J41)</f>
        <v/>
      </c>
      <c r="K42" s="60">
        <f>SUM(K32:K41)</f>
        <v/>
      </c>
      <c r="L42" s="60">
        <f>SUM(L32:L41)</f>
        <v/>
      </c>
    </row>
    <row r="43">
      <c r="A43" s="10" t="inlineStr">
        <is>
          <t>Property management fee</t>
        </is>
      </c>
      <c r="B43" s="16">
        <f>B29*'Assumptions'!$B$52</f>
        <v/>
      </c>
      <c r="C43" s="16">
        <f>C29*'Assumptions'!$B$52</f>
        <v/>
      </c>
      <c r="D43" s="16">
        <f>D29*'Assumptions'!$B$52</f>
        <v/>
      </c>
      <c r="E43" s="16">
        <f>E29*'Assumptions'!$B$52</f>
        <v/>
      </c>
      <c r="F43" s="16">
        <f>F29*'Assumptions'!$B$52</f>
        <v/>
      </c>
      <c r="G43" s="16">
        <f>G29*'Assumptions'!$B$52</f>
        <v/>
      </c>
      <c r="H43" s="16">
        <f>H29*'Assumptions'!$B$52</f>
        <v/>
      </c>
      <c r="I43" s="16">
        <f>I29*'Assumptions'!$B$52</f>
        <v/>
      </c>
      <c r="J43" s="16">
        <f>J29*'Assumptions'!$B$52</f>
        <v/>
      </c>
      <c r="K43" s="16">
        <f>K29*'Assumptions'!$B$52</f>
        <v/>
      </c>
      <c r="L43" s="16">
        <f>L29*'Assumptions'!$B$52</f>
        <v/>
      </c>
    </row>
    <row r="44">
      <c r="A44" s="23" t="inlineStr">
        <is>
          <t>TOTAL OPERATING EXPENSES</t>
        </is>
      </c>
      <c r="B44" s="60">
        <f>B42+B43</f>
        <v/>
      </c>
      <c r="C44" s="60">
        <f>C42+C43</f>
        <v/>
      </c>
      <c r="D44" s="60">
        <f>D42+D43</f>
        <v/>
      </c>
      <c r="E44" s="60">
        <f>E42+E43</f>
        <v/>
      </c>
      <c r="F44" s="60">
        <f>F42+F43</f>
        <v/>
      </c>
      <c r="G44" s="60">
        <f>G42+G43</f>
        <v/>
      </c>
      <c r="H44" s="60">
        <f>H42+H43</f>
        <v/>
      </c>
      <c r="I44" s="60">
        <f>I42+I43</f>
        <v/>
      </c>
      <c r="J44" s="60">
        <f>J42+J43</f>
        <v/>
      </c>
      <c r="K44" s="60">
        <f>K42+K43</f>
        <v/>
      </c>
      <c r="L44" s="60">
        <f>L42+L43</f>
        <v/>
      </c>
    </row>
    <row r="46">
      <c r="A46" s="23" t="inlineStr">
        <is>
          <t>NET OPERATING INCOME</t>
        </is>
      </c>
      <c r="B46" s="61">
        <f>B29-B44</f>
        <v/>
      </c>
      <c r="C46" s="61">
        <f>C29-C44</f>
        <v/>
      </c>
      <c r="D46" s="61">
        <f>D29-D44</f>
        <v/>
      </c>
      <c r="E46" s="61">
        <f>E29-E44</f>
        <v/>
      </c>
      <c r="F46" s="61">
        <f>F29-F44</f>
        <v/>
      </c>
      <c r="G46" s="61">
        <f>G29-G44</f>
        <v/>
      </c>
      <c r="H46" s="61">
        <f>H29-H44</f>
        <v/>
      </c>
      <c r="I46" s="61">
        <f>I29-I44</f>
        <v/>
      </c>
      <c r="J46" s="61">
        <f>J29-J44</f>
        <v/>
      </c>
      <c r="K46" s="61">
        <f>K29-K44</f>
        <v/>
      </c>
      <c r="L46" s="61">
        <f>L29-L44</f>
        <v/>
      </c>
    </row>
    <row r="47">
      <c r="A47" s="10" t="inlineStr">
        <is>
          <t>NOI per unit</t>
        </is>
      </c>
      <c r="B47" s="62">
        <f>IF('Rent Roll'!$B$23=0,0,B46/'Rent Roll'!$B$23)</f>
        <v/>
      </c>
      <c r="C47" s="62">
        <f>IF('Rent Roll'!$B$23=0,0,C46/'Rent Roll'!$B$23)</f>
        <v/>
      </c>
      <c r="D47" s="62">
        <f>IF('Rent Roll'!$B$23=0,0,D46/'Rent Roll'!$B$23)</f>
        <v/>
      </c>
      <c r="E47" s="62">
        <f>IF('Rent Roll'!$B$23=0,0,E46/'Rent Roll'!$B$23)</f>
        <v/>
      </c>
      <c r="F47" s="62">
        <f>IF('Rent Roll'!$B$23=0,0,F46/'Rent Roll'!$B$23)</f>
        <v/>
      </c>
      <c r="G47" s="62">
        <f>IF('Rent Roll'!$B$23=0,0,G46/'Rent Roll'!$B$23)</f>
        <v/>
      </c>
      <c r="H47" s="62">
        <f>IF('Rent Roll'!$B$23=0,0,H46/'Rent Roll'!$B$23)</f>
        <v/>
      </c>
      <c r="I47" s="62">
        <f>IF('Rent Roll'!$B$23=0,0,I46/'Rent Roll'!$B$23)</f>
        <v/>
      </c>
      <c r="J47" s="62">
        <f>IF('Rent Roll'!$B$23=0,0,J46/'Rent Roll'!$B$23)</f>
        <v/>
      </c>
      <c r="K47" s="62">
        <f>IF('Rent Roll'!$B$23=0,0,K46/'Rent Roll'!$B$23)</f>
        <v/>
      </c>
      <c r="L47" s="62">
        <f>IF('Rent Roll'!$B$23=0,0,L46/'Rent Roll'!$B$23)</f>
        <v/>
      </c>
    </row>
    <row r="48">
      <c r="A48" s="10" t="inlineStr">
        <is>
          <t>Operating expense ratio (% of EGI)</t>
        </is>
      </c>
      <c r="B48" s="59">
        <f>IF(B29=0,0,B44/B29)</f>
        <v/>
      </c>
      <c r="C48" s="59">
        <f>IF(C29=0,0,C44/C29)</f>
        <v/>
      </c>
      <c r="D48" s="59">
        <f>IF(D29=0,0,D44/D29)</f>
        <v/>
      </c>
      <c r="E48" s="59">
        <f>IF(E29=0,0,E44/E29)</f>
        <v/>
      </c>
      <c r="F48" s="59">
        <f>IF(F29=0,0,F44/F29)</f>
        <v/>
      </c>
      <c r="G48" s="59">
        <f>IF(G29=0,0,G44/G29)</f>
        <v/>
      </c>
      <c r="H48" s="59">
        <f>IF(H29=0,0,H44/H29)</f>
        <v/>
      </c>
      <c r="I48" s="59">
        <f>IF(I29=0,0,I44/I29)</f>
        <v/>
      </c>
      <c r="J48" s="59">
        <f>IF(J29=0,0,J44/J29)</f>
        <v/>
      </c>
      <c r="K48" s="59">
        <f>IF(K29=0,0,K44/K29)</f>
        <v/>
      </c>
      <c r="L48" s="59">
        <f>IF(L29=0,0,L44/L29)</f>
        <v/>
      </c>
    </row>
    <row r="49">
      <c r="A49" s="10" t="inlineStr">
        <is>
          <t>Economic occupancy</t>
        </is>
      </c>
      <c r="B49" s="59">
        <f>IF((B19+B20)=0,0,B27/(B19+B20))</f>
        <v/>
      </c>
      <c r="C49" s="59">
        <f>IF((C19+C20)=0,0,C27/(C19+C20))</f>
        <v/>
      </c>
      <c r="D49" s="59">
        <f>IF((D19+D20)=0,0,D27/(D19+D20))</f>
        <v/>
      </c>
      <c r="E49" s="59">
        <f>IF((E19+E20)=0,0,E27/(E19+E20))</f>
        <v/>
      </c>
      <c r="F49" s="59">
        <f>IF((F19+F20)=0,0,F27/(F19+F20))</f>
        <v/>
      </c>
      <c r="G49" s="59">
        <f>IF((G19+G20)=0,0,G27/(G19+G20))</f>
        <v/>
      </c>
      <c r="H49" s="59">
        <f>IF((H19+H20)=0,0,H27/(H19+H20))</f>
        <v/>
      </c>
      <c r="I49" s="59">
        <f>IF((I19+I20)=0,0,I27/(I19+I20))</f>
        <v/>
      </c>
      <c r="J49" s="59">
        <f>IF((J19+J20)=0,0,J27/(J19+J20))</f>
        <v/>
      </c>
      <c r="K49" s="59">
        <f>IF((K19+K20)=0,0,K27/(K19+K20))</f>
        <v/>
      </c>
      <c r="L49" s="59">
        <f>IF((L19+L20)=0,0,L27/(L19+L20))</f>
        <v/>
      </c>
    </row>
    <row r="51">
      <c r="A51" s="8" t="inlineStr">
        <is>
          <t>CAPITAL ITEMS (below the NOI line)</t>
        </is>
      </c>
      <c r="B51" s="9" t="n"/>
      <c r="C51" s="9" t="n"/>
      <c r="D51" s="9" t="n"/>
      <c r="E51" s="9" t="n"/>
      <c r="F51" s="9" t="n"/>
      <c r="G51" s="9" t="n"/>
      <c r="H51" s="9" t="n"/>
      <c r="I51" s="9" t="n"/>
      <c r="J51" s="9" t="n"/>
      <c r="K51" s="9" t="n"/>
      <c r="L51" s="9" t="n"/>
    </row>
    <row r="52">
      <c r="A52" s="10" t="inlineStr">
        <is>
          <t>Replacement reserves</t>
        </is>
      </c>
      <c r="B52" s="16">
        <f>'Rent Roll'!$B$23*'Assumptions'!$B$53*B7</f>
        <v/>
      </c>
      <c r="C52" s="16">
        <f>'Rent Roll'!$B$23*'Assumptions'!$B$53*C7</f>
        <v/>
      </c>
      <c r="D52" s="16">
        <f>'Rent Roll'!$B$23*'Assumptions'!$B$53*D7</f>
        <v/>
      </c>
      <c r="E52" s="16">
        <f>'Rent Roll'!$B$23*'Assumptions'!$B$53*E7</f>
        <v/>
      </c>
      <c r="F52" s="16">
        <f>'Rent Roll'!$B$23*'Assumptions'!$B$53*F7</f>
        <v/>
      </c>
      <c r="G52" s="16">
        <f>'Rent Roll'!$B$23*'Assumptions'!$B$53*G7</f>
        <v/>
      </c>
      <c r="H52" s="16">
        <f>'Rent Roll'!$B$23*'Assumptions'!$B$53*H7</f>
        <v/>
      </c>
      <c r="I52" s="16">
        <f>'Rent Roll'!$B$23*'Assumptions'!$B$53*I7</f>
        <v/>
      </c>
      <c r="J52" s="16">
        <f>'Rent Roll'!$B$23*'Assumptions'!$B$53*J7</f>
        <v/>
      </c>
      <c r="K52" s="16">
        <f>'Rent Roll'!$B$23*'Assumptions'!$B$53*K7</f>
        <v/>
      </c>
      <c r="L52" s="10" t="inlineStr"/>
    </row>
    <row r="53">
      <c r="A53" s="10" t="inlineStr">
        <is>
          <t>Renovation capital not funded at close</t>
        </is>
      </c>
      <c r="B53" s="16">
        <f>B11*'Assumptions'!$B$58*(1-'Assumptions'!$B$61)</f>
        <v/>
      </c>
      <c r="C53" s="16">
        <f>C11*'Assumptions'!$B$58*(1-'Assumptions'!$B$61)</f>
        <v/>
      </c>
      <c r="D53" s="16">
        <f>D11*'Assumptions'!$B$58*(1-'Assumptions'!$B$61)</f>
        <v/>
      </c>
      <c r="E53" s="16">
        <f>E11*'Assumptions'!$B$58*(1-'Assumptions'!$B$61)</f>
        <v/>
      </c>
      <c r="F53" s="16">
        <f>F11*'Assumptions'!$B$58*(1-'Assumptions'!$B$61)</f>
        <v/>
      </c>
      <c r="G53" s="16">
        <f>G11*'Assumptions'!$B$58*(1-'Assumptions'!$B$61)</f>
        <v/>
      </c>
      <c r="H53" s="16">
        <f>H11*'Assumptions'!$B$58*(1-'Assumptions'!$B$61)</f>
        <v/>
      </c>
      <c r="I53" s="16">
        <f>I11*'Assumptions'!$B$58*(1-'Assumptions'!$B$61)</f>
        <v/>
      </c>
      <c r="J53" s="16">
        <f>J11*'Assumptions'!$B$58*(1-'Assumptions'!$B$61)</f>
        <v/>
      </c>
      <c r="K53" s="16">
        <f>K11*'Assumptions'!$B$58*(1-'Assumptions'!$B$61)</f>
        <v/>
      </c>
      <c r="L53" s="10" t="inlineStr"/>
    </row>
    <row r="54">
      <c r="A54" s="10" t="inlineStr">
        <is>
          <t>Other capital expenditure (input)</t>
        </is>
      </c>
      <c r="B54" s="15" t="n">
        <v>0</v>
      </c>
      <c r="C54" s="15" t="n">
        <v>0</v>
      </c>
      <c r="D54" s="15" t="n">
        <v>0</v>
      </c>
      <c r="E54" s="15" t="n">
        <v>0</v>
      </c>
      <c r="F54" s="15" t="n">
        <v>0</v>
      </c>
      <c r="G54" s="15" t="n">
        <v>0</v>
      </c>
      <c r="H54" s="15" t="n">
        <v>0</v>
      </c>
      <c r="I54" s="15" t="n">
        <v>0</v>
      </c>
      <c r="J54" s="15" t="n">
        <v>0</v>
      </c>
      <c r="K54" s="15" t="n">
        <v>0</v>
      </c>
      <c r="L54" s="10" t="inlineStr"/>
    </row>
    <row r="55">
      <c r="A55" s="23" t="inlineStr">
        <is>
          <t>Total capital items</t>
        </is>
      </c>
      <c r="B55" s="60">
        <f>SUM(B52:B54)</f>
        <v/>
      </c>
      <c r="C55" s="60">
        <f>SUM(C52:C54)</f>
        <v/>
      </c>
      <c r="D55" s="60">
        <f>SUM(D52:D54)</f>
        <v/>
      </c>
      <c r="E55" s="60">
        <f>SUM(E52:E54)</f>
        <v/>
      </c>
      <c r="F55" s="60">
        <f>SUM(F52:F54)</f>
        <v/>
      </c>
      <c r="G55" s="60">
        <f>SUM(G52:G54)</f>
        <v/>
      </c>
      <c r="H55" s="60">
        <f>SUM(H52:H54)</f>
        <v/>
      </c>
      <c r="I55" s="60">
        <f>SUM(I52:I54)</f>
        <v/>
      </c>
      <c r="J55" s="60">
        <f>SUM(J52:J54)</f>
        <v/>
      </c>
      <c r="K55" s="60">
        <f>SUM(K52:K54)</f>
        <v/>
      </c>
      <c r="L55" s="63" t="inlineStr"/>
    </row>
    <row r="56">
      <c r="A56" s="23" t="inlineStr">
        <is>
          <t>UNLEVERED CASH FLOW</t>
        </is>
      </c>
      <c r="B56" s="42">
        <f>B46-B55</f>
        <v/>
      </c>
      <c r="C56" s="42">
        <f>C46-C55</f>
        <v/>
      </c>
      <c r="D56" s="42">
        <f>D46-D55</f>
        <v/>
      </c>
      <c r="E56" s="42">
        <f>E46-E55</f>
        <v/>
      </c>
      <c r="F56" s="42">
        <f>F46-F55</f>
        <v/>
      </c>
      <c r="G56" s="42">
        <f>G46-G55</f>
        <v/>
      </c>
      <c r="H56" s="42">
        <f>H46-H55</f>
        <v/>
      </c>
      <c r="I56" s="42">
        <f>I46-I55</f>
        <v/>
      </c>
      <c r="J56" s="42">
        <f>J46-J55</f>
        <v/>
      </c>
      <c r="K56" s="42">
        <f>K46-K55</f>
        <v/>
      </c>
      <c r="L56" s="63" t="inlineStr"/>
    </row>
    <row r="58">
      <c r="A58" s="8" t="inlineStr">
        <is>
          <t>DEBT</t>
        </is>
      </c>
      <c r="B58" s="9" t="n"/>
      <c r="C58" s="9" t="n"/>
      <c r="D58" s="9" t="n"/>
      <c r="E58" s="9" t="n"/>
      <c r="F58" s="9" t="n"/>
      <c r="G58" s="9" t="n"/>
      <c r="H58" s="9" t="n"/>
      <c r="I58" s="9" t="n"/>
      <c r="J58" s="9" t="n"/>
      <c r="K58" s="9" t="n"/>
      <c r="L58" s="9" t="n"/>
    </row>
    <row r="59">
      <c r="A59" s="10" t="inlineStr">
        <is>
          <t>Debt service</t>
        </is>
      </c>
      <c r="B59" s="16">
        <f>-'Debt'!D30</f>
        <v/>
      </c>
      <c r="C59" s="16">
        <f>-'Debt'!D31</f>
        <v/>
      </c>
      <c r="D59" s="16">
        <f>-'Debt'!D32</f>
        <v/>
      </c>
      <c r="E59" s="16">
        <f>-'Debt'!D33</f>
        <v/>
      </c>
      <c r="F59" s="16">
        <f>-'Debt'!D34</f>
        <v/>
      </c>
      <c r="G59" s="16">
        <f>-'Debt'!D35</f>
        <v/>
      </c>
      <c r="H59" s="16">
        <f>-'Debt'!D36</f>
        <v/>
      </c>
      <c r="I59" s="16">
        <f>-'Debt'!D37</f>
        <v/>
      </c>
      <c r="J59" s="16">
        <f>-'Debt'!D38</f>
        <v/>
      </c>
      <c r="K59" s="16">
        <f>-'Debt'!D39</f>
        <v/>
      </c>
    </row>
    <row r="60">
      <c r="A60" s="23" t="inlineStr">
        <is>
          <t>LEVERED CASH FLOW (operating)</t>
        </is>
      </c>
      <c r="B60" s="42">
        <f>B56+B59</f>
        <v/>
      </c>
      <c r="C60" s="42">
        <f>C56+C59</f>
        <v/>
      </c>
      <c r="D60" s="42">
        <f>D56+D59</f>
        <v/>
      </c>
      <c r="E60" s="42">
        <f>E56+E59</f>
        <v/>
      </c>
      <c r="F60" s="42">
        <f>F56+F59</f>
        <v/>
      </c>
      <c r="G60" s="42">
        <f>G56+G59</f>
        <v/>
      </c>
      <c r="H60" s="42">
        <f>H56+H59</f>
        <v/>
      </c>
      <c r="I60" s="42">
        <f>I56+I59</f>
        <v/>
      </c>
      <c r="J60" s="42">
        <f>J56+J59</f>
        <v/>
      </c>
      <c r="K60" s="42">
        <f>K56+K59</f>
        <v/>
      </c>
    </row>
    <row r="62">
      <c r="A62" s="8" t="inlineStr">
        <is>
          <t>COVERAGE</t>
        </is>
      </c>
      <c r="B62" s="9" t="n"/>
      <c r="C62" s="9" t="n"/>
      <c r="D62" s="9" t="n"/>
      <c r="E62" s="9" t="n"/>
      <c r="F62" s="9" t="n"/>
      <c r="G62" s="9" t="n"/>
      <c r="H62" s="9" t="n"/>
      <c r="I62" s="9" t="n"/>
      <c r="J62" s="9" t="n"/>
      <c r="K62" s="9" t="n"/>
      <c r="L62" s="9" t="n"/>
    </row>
    <row r="63">
      <c r="A63" s="10" t="inlineStr">
        <is>
          <t>Debt service coverage ratio</t>
        </is>
      </c>
      <c r="B63" s="64">
        <f>IF('Debt'!D30=0,0,B46/'Debt'!D30)</f>
        <v/>
      </c>
      <c r="C63" s="64">
        <f>IF('Debt'!D31=0,0,C46/'Debt'!D31)</f>
        <v/>
      </c>
      <c r="D63" s="64">
        <f>IF('Debt'!D32=0,0,D46/'Debt'!D32)</f>
        <v/>
      </c>
      <c r="E63" s="64">
        <f>IF('Debt'!D33=0,0,E46/'Debt'!D33)</f>
        <v/>
      </c>
      <c r="F63" s="64">
        <f>IF('Debt'!D34=0,0,F46/'Debt'!D34)</f>
        <v/>
      </c>
      <c r="G63" s="64">
        <f>IF('Debt'!D35=0,0,G46/'Debt'!D35)</f>
        <v/>
      </c>
      <c r="H63" s="64">
        <f>IF('Debt'!D36=0,0,H46/'Debt'!D36)</f>
        <v/>
      </c>
      <c r="I63" s="64">
        <f>IF('Debt'!D37=0,0,I46/'Debt'!D37)</f>
        <v/>
      </c>
      <c r="J63" s="64">
        <f>IF('Debt'!D38=0,0,J46/'Debt'!D38)</f>
        <v/>
      </c>
      <c r="K63" s="64">
        <f>IF('Debt'!D39=0,0,K46/'Debt'!D39)</f>
        <v/>
      </c>
    </row>
    <row r="64">
      <c r="A64" s="10" t="inlineStr">
        <is>
          <t>Debt yield (on year-end balance)</t>
        </is>
      </c>
      <c r="B64" s="65">
        <f>IF('Debt'!E30=0,0,B46/'Debt'!E30)</f>
        <v/>
      </c>
      <c r="C64" s="65">
        <f>IF('Debt'!E31=0,0,C46/'Debt'!E31)</f>
        <v/>
      </c>
      <c r="D64" s="65">
        <f>IF('Debt'!E32=0,0,D46/'Debt'!E32)</f>
        <v/>
      </c>
      <c r="E64" s="65">
        <f>IF('Debt'!E33=0,0,E46/'Debt'!E33)</f>
        <v/>
      </c>
      <c r="F64" s="65">
        <f>IF('Debt'!E34=0,0,F46/'Debt'!E34)</f>
        <v/>
      </c>
      <c r="G64" s="65">
        <f>IF('Debt'!E35=0,0,G46/'Debt'!E35)</f>
        <v/>
      </c>
      <c r="H64" s="65">
        <f>IF('Debt'!E36=0,0,H46/'Debt'!E36)</f>
        <v/>
      </c>
      <c r="I64" s="65">
        <f>IF('Debt'!E37=0,0,I46/'Debt'!E37)</f>
        <v/>
      </c>
      <c r="J64" s="65">
        <f>IF('Debt'!E38=0,0,J46/'Debt'!E38)</f>
        <v/>
      </c>
      <c r="K64" s="65">
        <f>IF('Debt'!E39=0,0,K46/'Debt'!E39)</f>
        <v/>
      </c>
    </row>
    <row r="65">
      <c r="A65" s="10" t="inlineStr">
        <is>
          <t>Cash-on-cash return</t>
        </is>
      </c>
      <c r="B65" s="59">
        <f>IF('Sources and Uses'!B17=0,0,B60/'Sources and Uses'!B17)</f>
        <v/>
      </c>
      <c r="C65" s="59">
        <f>IF('Sources and Uses'!B17=0,0,C60/'Sources and Uses'!B17)</f>
        <v/>
      </c>
      <c r="D65" s="59">
        <f>IF('Sources and Uses'!B17=0,0,D60/'Sources and Uses'!B17)</f>
        <v/>
      </c>
      <c r="E65" s="59">
        <f>IF('Sources and Uses'!B17=0,0,E60/'Sources and Uses'!B17)</f>
        <v/>
      </c>
      <c r="F65" s="59">
        <f>IF('Sources and Uses'!B17=0,0,F60/'Sources and Uses'!B17)</f>
        <v/>
      </c>
      <c r="G65" s="59">
        <f>IF('Sources and Uses'!B17=0,0,G60/'Sources and Uses'!B17)</f>
        <v/>
      </c>
      <c r="H65" s="59">
        <f>IF('Sources and Uses'!B17=0,0,H60/'Sources and Uses'!B17)</f>
        <v/>
      </c>
      <c r="I65" s="59">
        <f>IF('Sources and Uses'!B17=0,0,I60/'Sources and Uses'!B17)</f>
        <v/>
      </c>
      <c r="J65" s="59">
        <f>IF('Sources and Uses'!B17=0,0,J60/'Sources and Uses'!B17)</f>
        <v/>
      </c>
      <c r="K65" s="59">
        <f>IF('Sources and Uses'!B17=0,0,K60/'Sources and Uses'!B17)</f>
        <v/>
      </c>
    </row>
    <row r="66">
      <c r="A66" s="10" t="inlineStr">
        <is>
          <t>Loan balance, year end</t>
        </is>
      </c>
      <c r="B66" s="16">
        <f>'Debt'!E30</f>
        <v/>
      </c>
      <c r="C66" s="16">
        <f>'Debt'!E31</f>
        <v/>
      </c>
      <c r="D66" s="16">
        <f>'Debt'!E32</f>
        <v/>
      </c>
      <c r="E66" s="16">
        <f>'Debt'!E33</f>
        <v/>
      </c>
      <c r="F66" s="16">
        <f>'Debt'!E34</f>
        <v/>
      </c>
      <c r="G66" s="16">
        <f>'Debt'!E35</f>
        <v/>
      </c>
      <c r="H66" s="16">
        <f>'Debt'!E36</f>
        <v/>
      </c>
      <c r="I66" s="16">
        <f>'Debt'!E37</f>
        <v/>
      </c>
      <c r="J66" s="16">
        <f>'Debt'!E38</f>
        <v/>
      </c>
      <c r="K66" s="16">
        <f>'Debt'!E39</f>
        <v/>
      </c>
    </row>
    <row r="67">
      <c r="A67" s="10" t="inlineStr">
        <is>
          <t>Loan to value on capitalized NOI</t>
        </is>
      </c>
      <c r="B67" s="59">
        <f>IF(OR(B46&lt;=0,'Assumptions'!$B$79&lt;=0),0,'Debt'!E30/(B46/'Assumptions'!$B$79))</f>
        <v/>
      </c>
      <c r="C67" s="59">
        <f>IF(OR(C46&lt;=0,'Assumptions'!$B$79&lt;=0),0,'Debt'!E31/(C46/'Assumptions'!$B$79))</f>
        <v/>
      </c>
      <c r="D67" s="59">
        <f>IF(OR(D46&lt;=0,'Assumptions'!$B$79&lt;=0),0,'Debt'!E32/(D46/'Assumptions'!$B$79))</f>
        <v/>
      </c>
      <c r="E67" s="59">
        <f>IF(OR(E46&lt;=0,'Assumptions'!$B$79&lt;=0),0,'Debt'!E33/(E46/'Assumptions'!$B$79))</f>
        <v/>
      </c>
      <c r="F67" s="59">
        <f>IF(OR(F46&lt;=0,'Assumptions'!$B$79&lt;=0),0,'Debt'!E34/(F46/'Assumptions'!$B$79))</f>
        <v/>
      </c>
      <c r="G67" s="59">
        <f>IF(OR(G46&lt;=0,'Assumptions'!$B$79&lt;=0),0,'Debt'!E35/(G46/'Assumptions'!$B$79))</f>
        <v/>
      </c>
      <c r="H67" s="59">
        <f>IF(OR(H46&lt;=0,'Assumptions'!$B$79&lt;=0),0,'Debt'!E36/(H46/'Assumptions'!$B$79))</f>
        <v/>
      </c>
      <c r="I67" s="59">
        <f>IF(OR(I46&lt;=0,'Assumptions'!$B$79&lt;=0),0,'Debt'!E37/(I46/'Assumptions'!$B$79))</f>
        <v/>
      </c>
      <c r="J67" s="59">
        <f>IF(OR(J46&lt;=0,'Assumptions'!$B$79&lt;=0),0,'Debt'!E38/(J46/'Assumptions'!$B$79))</f>
        <v/>
      </c>
      <c r="K67" s="59">
        <f>IF(OR(K46&lt;=0,'Assumptions'!$B$79&lt;=0),0,'Debt'!E39/(K46/'Assumptions'!$B$79))</f>
        <v/>
      </c>
    </row>
    <row r="69">
      <c r="A69" s="4" t="inlineStr">
        <is>
          <t>Three rows here are inputs: units renovated in year, loss-to-lease capture, and other capital expenditure. If capture drops below the implied minimum above it, you are counting the same rent twice.</t>
        </is>
      </c>
    </row>
  </sheetData>
  <pageMargins left="0.4" right="0.4" top="0.5" bottom="0.5" header="0.5" footer="0.5"/>
  <pageSetup orientation="landscape" fitToHeight="0" fitToWidth="1"/>
  <headerFooter>
    <oddHeader/>
    <oddFooter>&amp;L&amp;8 &amp;K808080Altyst multifamily underwriting model&amp;R&amp;8 &amp;K808080Page &amp;P of &amp;N</oddFooter>
    <evenHeader/>
    <evenFooter/>
    <firstHeader/>
    <firstFooter/>
  </headerFooter>
</worksheet>
</file>

<file path=xl/worksheets/sheet6.xml><?xml version="1.0" encoding="utf-8"?>
<worksheet xmlns="http://schemas.openxmlformats.org/spreadsheetml/2006/main">
  <sheetPr>
    <outlinePr summaryBelow="1" summaryRight="1"/>
    <pageSetUpPr fitToPage="1"/>
  </sheetPr>
  <dimension ref="A1:I162"/>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46" customWidth="1" min="1" max="1"/>
    <col width="16" customWidth="1" min="2" max="2"/>
    <col width="16" customWidth="1" min="3" max="3"/>
    <col width="16" customWidth="1" min="4" max="4"/>
    <col width="16" customWidth="1" min="5" max="5"/>
    <col width="14" customWidth="1" min="6" max="6"/>
    <col width="14" customWidth="1" min="7" max="7"/>
    <col width="12" customWidth="1" min="8" max="8"/>
    <col width="12" customWidth="1" min="9" max="9"/>
  </cols>
  <sheetData>
    <row r="1">
      <c r="A1" s="1" t="inlineStr">
        <is>
          <t>Senior Debt</t>
        </is>
      </c>
    </row>
    <row r="2">
      <c r="A2" s="2" t="inlineStr">
        <is>
          <t>Sized on the binding constraint. Level payment sized on the full amortization term.</t>
        </is>
      </c>
    </row>
    <row r="3">
      <c r="A3" s="7" t="n"/>
      <c r="B3" s="7" t="n"/>
      <c r="C3" s="7" t="n"/>
      <c r="D3" s="7" t="n"/>
      <c r="E3" s="7" t="n"/>
      <c r="F3" s="7" t="n"/>
      <c r="G3" s="7" t="n"/>
      <c r="H3" s="7" t="n"/>
      <c r="I3" s="7" t="n"/>
    </row>
    <row r="4">
      <c r="A4" s="8" t="inlineStr">
        <is>
          <t>LOAN SIZING</t>
        </is>
      </c>
      <c r="B4" s="9" t="n"/>
      <c r="C4" s="9" t="n"/>
      <c r="D4" s="9" t="n"/>
      <c r="E4" s="9" t="n"/>
      <c r="F4" s="9" t="n"/>
      <c r="G4" s="9" t="n"/>
      <c r="H4" s="9" t="n"/>
      <c r="I4" s="9" t="n"/>
    </row>
    <row r="5">
      <c r="A5" s="10" t="inlineStr">
        <is>
          <t>Year-1 net operating income</t>
        </is>
      </c>
      <c r="B5" s="16">
        <f>'Pro Forma'!B46</f>
        <v/>
      </c>
    </row>
    <row r="6">
      <c r="A6" s="10" t="inlineStr">
        <is>
          <t>Purchase price</t>
        </is>
      </c>
      <c r="B6" s="16">
        <f>'Assumptions'!B15</f>
        <v/>
      </c>
    </row>
    <row r="7">
      <c r="A7" s="10" t="inlineStr">
        <is>
          <t>Interest rate</t>
        </is>
      </c>
      <c r="B7" s="66">
        <f>'Assumptions'!B65</f>
        <v/>
      </c>
    </row>
    <row r="8">
      <c r="A8" s="10" t="inlineStr">
        <is>
          <t>Amortization (months)</t>
        </is>
      </c>
      <c r="B8" s="13">
        <f>'Assumptions'!B66*12</f>
        <v/>
      </c>
    </row>
    <row r="9">
      <c r="A9" s="10" t="inlineStr">
        <is>
          <t>Interest-only period (months)</t>
        </is>
      </c>
      <c r="B9" s="13">
        <f>'Assumptions'!B67</f>
        <v/>
      </c>
    </row>
    <row r="10">
      <c r="A10" s="10" t="inlineStr">
        <is>
          <t>Rate used for the coverage test</t>
        </is>
      </c>
      <c r="B10" s="66">
        <f>IF('Assumptions'!B72&gt;0,'Assumptions'!B72,'Assumptions'!B65)</f>
        <v/>
      </c>
    </row>
    <row r="11">
      <c r="A11" s="10" t="inlineStr">
        <is>
          <t>Mortgage constant at the coupon</t>
        </is>
      </c>
      <c r="B11" s="66">
        <f>IF(B8&lt;=0,0,-PMT(B7/12,B8,1)*12)</f>
        <v/>
      </c>
    </row>
    <row r="12">
      <c r="A12" s="10" t="inlineStr">
        <is>
          <t>Mortgage constant at the coverage rate</t>
        </is>
      </c>
      <c r="B12" s="66">
        <f>IF(B8&lt;=0,0,-PMT(B10/12,B8,1)*12)</f>
        <v/>
      </c>
    </row>
    <row r="14">
      <c r="A14" s="10" t="inlineStr">
        <is>
          <t>Maximum loan: loan to value test</t>
        </is>
      </c>
      <c r="B14" s="16">
        <f>IF('Assumptions'!B74=1,'Assumptions'!B70*B6,1000000000000)</f>
        <v/>
      </c>
    </row>
    <row r="15">
      <c r="A15" s="10" t="inlineStr">
        <is>
          <t>Maximum loan: debt service coverage test</t>
        </is>
      </c>
      <c r="B15" s="16">
        <f>IF(AND('Assumptions'!B75=1,'Assumptions'!B71&gt;0,B12&gt;0),B5/('Assumptions'!B71*B12),1000000000000)</f>
        <v/>
      </c>
    </row>
    <row r="16">
      <c r="A16" s="10" t="inlineStr">
        <is>
          <t>Maximum loan: debt yield test</t>
        </is>
      </c>
      <c r="B16" s="16">
        <f>IF(AND('Assumptions'!B76=1,'Assumptions'!B73&gt;0),B5/'Assumptions'!B73,1000000000000)</f>
        <v/>
      </c>
    </row>
    <row r="17">
      <c r="A17" s="23" t="inlineStr">
        <is>
          <t>LOAN AMOUNT</t>
        </is>
      </c>
      <c r="B17" s="42">
        <f>IF(MIN(B14,B15,B16)&gt;=1000000000000,0,MAX(0,MIN(B14,B15,B16)))</f>
        <v/>
      </c>
    </row>
    <row r="18">
      <c r="A18" s="10" t="inlineStr">
        <is>
          <t>Binding constraint</t>
        </is>
      </c>
      <c r="B18" s="67">
        <f>IF(B17=0,"None. All cash.",IF(B17=B14,"Loan to value",IF(B17=B15,"Debt service coverage","Debt yield")))</f>
        <v/>
      </c>
    </row>
    <row r="20">
      <c r="A20" s="10" t="inlineStr">
        <is>
          <t>Implied loan to value</t>
        </is>
      </c>
      <c r="B20" s="49">
        <f>IF(B6=0,0,B17/B6)</f>
        <v/>
      </c>
    </row>
    <row r="21">
      <c r="A21" s="10" t="inlineStr">
        <is>
          <t>Going-in DSCR (year 1)</t>
        </is>
      </c>
      <c r="B21" s="68">
        <f>IF(D30=0,0,B5/D30)</f>
        <v/>
      </c>
    </row>
    <row r="22">
      <c r="A22" s="10" t="inlineStr">
        <is>
          <t>Going-in debt yield (year-1 NOI over the original loan)</t>
        </is>
      </c>
      <c r="B22" s="66">
        <f>IF(B17=0,0,B5/B17)</f>
        <v/>
      </c>
    </row>
    <row r="23">
      <c r="A23" s="10" t="inlineStr">
        <is>
          <t>Origination fee</t>
        </is>
      </c>
      <c r="B23" s="16">
        <f>B17*'Assumptions'!B69</f>
        <v/>
      </c>
    </row>
    <row r="24">
      <c r="A24" s="10" t="inlineStr">
        <is>
          <t>Level monthly payment once amortization starts</t>
        </is>
      </c>
      <c r="B24" s="16">
        <f>IF(B8=0,0,-PMT(B7/12,B8,B17))</f>
        <v/>
      </c>
    </row>
    <row r="25">
      <c r="A25" s="10" t="inlineStr">
        <is>
          <t>Monthly interest-only payment</t>
        </is>
      </c>
      <c r="B25" s="16">
        <f>B17*B7/12</f>
        <v/>
      </c>
    </row>
    <row r="26">
      <c r="A26" s="10" t="inlineStr">
        <is>
          <t>Balloon balance at the end of the hold</t>
        </is>
      </c>
      <c r="B26" s="24">
        <f>INDEX(E30:E39,MAX(1,MIN(10,'Assumptions'!B25)))</f>
        <v/>
      </c>
    </row>
    <row r="27">
      <c r="A27" s="4" t="inlineStr">
        <is>
          <t>The level payment is sized on the full amortization term. A 24-month interest-only period followed by a 30-year amortization sizes the payment on 360 months, and on a seven-year loan the balloon lands with 25 years of amortization still to run. Note that going-in DSCR above is measured on the ACTUAL year-one payment, so while the loan is interest-only it reads higher than the coverage test the loan was sized on.</t>
        </is>
      </c>
    </row>
    <row r="28">
      <c r="A28" s="8" t="inlineStr">
        <is>
          <t>ANNUAL SUMMARY</t>
        </is>
      </c>
      <c r="B28" s="9" t="n"/>
      <c r="C28" s="9" t="n"/>
      <c r="D28" s="9" t="n"/>
      <c r="E28" s="9" t="n"/>
      <c r="F28" s="9" t="n"/>
      <c r="G28" s="9" t="n"/>
      <c r="H28" s="9" t="n"/>
      <c r="I28" s="9" t="n"/>
    </row>
    <row r="29">
      <c r="A29" s="29" t="inlineStr">
        <is>
          <t>Year</t>
        </is>
      </c>
      <c r="B29" s="30" t="inlineStr">
        <is>
          <t>Interest</t>
        </is>
      </c>
      <c r="C29" s="30" t="inlineStr">
        <is>
          <t>Principal</t>
        </is>
      </c>
      <c r="D29" s="30" t="inlineStr">
        <is>
          <t>Debt service</t>
        </is>
      </c>
      <c r="E29" s="30" t="inlineStr">
        <is>
          <t>Ending balance</t>
        </is>
      </c>
      <c r="F29" s="30" t="inlineStr">
        <is>
          <t>DS per $1 of loan</t>
        </is>
      </c>
      <c r="G29" s="30" t="inlineStr">
        <is>
          <t>Balance per $1</t>
        </is>
      </c>
      <c r="H29" s="30" t="inlineStr">
        <is>
          <t>DSCR</t>
        </is>
      </c>
      <c r="I29" s="30" t="inlineStr">
        <is>
          <t>Debt yield (on ending balance)</t>
        </is>
      </c>
    </row>
    <row r="30">
      <c r="A30" s="69" t="n">
        <v>1</v>
      </c>
      <c r="B30" s="16">
        <f>SUM(D43:D54)</f>
        <v/>
      </c>
      <c r="C30" s="16">
        <f>SUM(E43:E54)</f>
        <v/>
      </c>
      <c r="D30" s="24">
        <f>SUM(F43:F54)</f>
        <v/>
      </c>
      <c r="E30" s="16">
        <f>G54</f>
        <v/>
      </c>
      <c r="F30" s="70">
        <f>IF($B$17=0,0,D30/$B$17)</f>
        <v/>
      </c>
      <c r="G30" s="70">
        <f>IF($B$17=0,0,E30/$B$17)</f>
        <v/>
      </c>
      <c r="H30" s="68">
        <f>IF(D30=0,0,'Pro Forma'!B46/D30)</f>
        <v/>
      </c>
      <c r="I30" s="66">
        <f>IF(E30=0,0,'Pro Forma'!B46/E30)</f>
        <v/>
      </c>
    </row>
    <row r="31">
      <c r="A31" s="69" t="n">
        <v>2</v>
      </c>
      <c r="B31" s="16">
        <f>SUM(D55:D66)</f>
        <v/>
      </c>
      <c r="C31" s="16">
        <f>SUM(E55:E66)</f>
        <v/>
      </c>
      <c r="D31" s="24">
        <f>SUM(F55:F66)</f>
        <v/>
      </c>
      <c r="E31" s="16">
        <f>G66</f>
        <v/>
      </c>
      <c r="F31" s="70">
        <f>IF($B$17=0,0,D31/$B$17)</f>
        <v/>
      </c>
      <c r="G31" s="70">
        <f>IF($B$17=0,0,E31/$B$17)</f>
        <v/>
      </c>
      <c r="H31" s="68">
        <f>IF(D31=0,0,'Pro Forma'!C46/D31)</f>
        <v/>
      </c>
      <c r="I31" s="66">
        <f>IF(E31=0,0,'Pro Forma'!C46/E31)</f>
        <v/>
      </c>
    </row>
    <row r="32">
      <c r="A32" s="69" t="n">
        <v>3</v>
      </c>
      <c r="B32" s="16">
        <f>SUM(D67:D78)</f>
        <v/>
      </c>
      <c r="C32" s="16">
        <f>SUM(E67:E78)</f>
        <v/>
      </c>
      <c r="D32" s="24">
        <f>SUM(F67:F78)</f>
        <v/>
      </c>
      <c r="E32" s="16">
        <f>G78</f>
        <v/>
      </c>
      <c r="F32" s="70">
        <f>IF($B$17=0,0,D32/$B$17)</f>
        <v/>
      </c>
      <c r="G32" s="70">
        <f>IF($B$17=0,0,E32/$B$17)</f>
        <v/>
      </c>
      <c r="H32" s="68">
        <f>IF(D32=0,0,'Pro Forma'!D46/D32)</f>
        <v/>
      </c>
      <c r="I32" s="66">
        <f>IF(E32=0,0,'Pro Forma'!D46/E32)</f>
        <v/>
      </c>
    </row>
    <row r="33">
      <c r="A33" s="69" t="n">
        <v>4</v>
      </c>
      <c r="B33" s="16">
        <f>SUM(D79:D90)</f>
        <v/>
      </c>
      <c r="C33" s="16">
        <f>SUM(E79:E90)</f>
        <v/>
      </c>
      <c r="D33" s="24">
        <f>SUM(F79:F90)</f>
        <v/>
      </c>
      <c r="E33" s="16">
        <f>G90</f>
        <v/>
      </c>
      <c r="F33" s="70">
        <f>IF($B$17=0,0,D33/$B$17)</f>
        <v/>
      </c>
      <c r="G33" s="70">
        <f>IF($B$17=0,0,E33/$B$17)</f>
        <v/>
      </c>
      <c r="H33" s="68">
        <f>IF(D33=0,0,'Pro Forma'!E46/D33)</f>
        <v/>
      </c>
      <c r="I33" s="66">
        <f>IF(E33=0,0,'Pro Forma'!E46/E33)</f>
        <v/>
      </c>
    </row>
    <row r="34">
      <c r="A34" s="69" t="n">
        <v>5</v>
      </c>
      <c r="B34" s="16">
        <f>SUM(D91:D102)</f>
        <v/>
      </c>
      <c r="C34" s="16">
        <f>SUM(E91:E102)</f>
        <v/>
      </c>
      <c r="D34" s="24">
        <f>SUM(F91:F102)</f>
        <v/>
      </c>
      <c r="E34" s="16">
        <f>G102</f>
        <v/>
      </c>
      <c r="F34" s="70">
        <f>IF($B$17=0,0,D34/$B$17)</f>
        <v/>
      </c>
      <c r="G34" s="70">
        <f>IF($B$17=0,0,E34/$B$17)</f>
        <v/>
      </c>
      <c r="H34" s="68">
        <f>IF(D34=0,0,'Pro Forma'!F46/D34)</f>
        <v/>
      </c>
      <c r="I34" s="66">
        <f>IF(E34=0,0,'Pro Forma'!F46/E34)</f>
        <v/>
      </c>
    </row>
    <row r="35">
      <c r="A35" s="69" t="n">
        <v>6</v>
      </c>
      <c r="B35" s="16">
        <f>SUM(D103:D114)</f>
        <v/>
      </c>
      <c r="C35" s="16">
        <f>SUM(E103:E114)</f>
        <v/>
      </c>
      <c r="D35" s="24">
        <f>SUM(F103:F114)</f>
        <v/>
      </c>
      <c r="E35" s="16">
        <f>G114</f>
        <v/>
      </c>
      <c r="F35" s="70">
        <f>IF($B$17=0,0,D35/$B$17)</f>
        <v/>
      </c>
      <c r="G35" s="70">
        <f>IF($B$17=0,0,E35/$B$17)</f>
        <v/>
      </c>
      <c r="H35" s="68">
        <f>IF(D35=0,0,'Pro Forma'!G46/D35)</f>
        <v/>
      </c>
      <c r="I35" s="66">
        <f>IF(E35=0,0,'Pro Forma'!G46/E35)</f>
        <v/>
      </c>
    </row>
    <row r="36">
      <c r="A36" s="69" t="n">
        <v>7</v>
      </c>
      <c r="B36" s="16">
        <f>SUM(D115:D126)</f>
        <v/>
      </c>
      <c r="C36" s="16">
        <f>SUM(E115:E126)</f>
        <v/>
      </c>
      <c r="D36" s="24">
        <f>SUM(F115:F126)</f>
        <v/>
      </c>
      <c r="E36" s="16">
        <f>G126</f>
        <v/>
      </c>
      <c r="F36" s="70">
        <f>IF($B$17=0,0,D36/$B$17)</f>
        <v/>
      </c>
      <c r="G36" s="70">
        <f>IF($B$17=0,0,E36/$B$17)</f>
        <v/>
      </c>
      <c r="H36" s="68">
        <f>IF(D36=0,0,'Pro Forma'!H46/D36)</f>
        <v/>
      </c>
      <c r="I36" s="66">
        <f>IF(E36=0,0,'Pro Forma'!H46/E36)</f>
        <v/>
      </c>
    </row>
    <row r="37">
      <c r="A37" s="69" t="n">
        <v>8</v>
      </c>
      <c r="B37" s="16">
        <f>SUM(D127:D138)</f>
        <v/>
      </c>
      <c r="C37" s="16">
        <f>SUM(E127:E138)</f>
        <v/>
      </c>
      <c r="D37" s="24">
        <f>SUM(F127:F138)</f>
        <v/>
      </c>
      <c r="E37" s="16">
        <f>G138</f>
        <v/>
      </c>
      <c r="F37" s="70">
        <f>IF($B$17=0,0,D37/$B$17)</f>
        <v/>
      </c>
      <c r="G37" s="70">
        <f>IF($B$17=0,0,E37/$B$17)</f>
        <v/>
      </c>
      <c r="H37" s="68">
        <f>IF(D37=0,0,'Pro Forma'!I46/D37)</f>
        <v/>
      </c>
      <c r="I37" s="66">
        <f>IF(E37=0,0,'Pro Forma'!I46/E37)</f>
        <v/>
      </c>
    </row>
    <row r="38">
      <c r="A38" s="69" t="n">
        <v>9</v>
      </c>
      <c r="B38" s="16">
        <f>SUM(D139:D150)</f>
        <v/>
      </c>
      <c r="C38" s="16">
        <f>SUM(E139:E150)</f>
        <v/>
      </c>
      <c r="D38" s="24">
        <f>SUM(F139:F150)</f>
        <v/>
      </c>
      <c r="E38" s="16">
        <f>G150</f>
        <v/>
      </c>
      <c r="F38" s="70">
        <f>IF($B$17=0,0,D38/$B$17)</f>
        <v/>
      </c>
      <c r="G38" s="70">
        <f>IF($B$17=0,0,E38/$B$17)</f>
        <v/>
      </c>
      <c r="H38" s="68">
        <f>IF(D38=0,0,'Pro Forma'!J46/D38)</f>
        <v/>
      </c>
      <c r="I38" s="66">
        <f>IF(E38=0,0,'Pro Forma'!J46/E38)</f>
        <v/>
      </c>
    </row>
    <row r="39">
      <c r="A39" s="69" t="n">
        <v>10</v>
      </c>
      <c r="B39" s="16">
        <f>SUM(D151:D162)</f>
        <v/>
      </c>
      <c r="C39" s="16">
        <f>SUM(E151:E162)</f>
        <v/>
      </c>
      <c r="D39" s="24">
        <f>SUM(F151:F162)</f>
        <v/>
      </c>
      <c r="E39" s="16">
        <f>G162</f>
        <v/>
      </c>
      <c r="F39" s="70">
        <f>IF($B$17=0,0,D39/$B$17)</f>
        <v/>
      </c>
      <c r="G39" s="70">
        <f>IF($B$17=0,0,E39/$B$17)</f>
        <v/>
      </c>
      <c r="H39" s="68">
        <f>IF(D39=0,0,'Pro Forma'!K46/D39)</f>
        <v/>
      </c>
      <c r="I39" s="66">
        <f>IF(E39=0,0,'Pro Forma'!K46/E39)</f>
        <v/>
      </c>
    </row>
    <row r="41">
      <c r="A41" s="8" t="inlineStr">
        <is>
          <t>MONTHLY AMORTIZATION SCHEDULE</t>
        </is>
      </c>
      <c r="B41" s="9" t="n"/>
      <c r="C41" s="9" t="n"/>
      <c r="D41" s="9" t="n"/>
      <c r="E41" s="9" t="n"/>
      <c r="F41" s="9" t="n"/>
      <c r="G41" s="9" t="n"/>
      <c r="H41" s="9" t="n"/>
      <c r="I41" s="9" t="n"/>
    </row>
    <row r="42">
      <c r="A42" s="29" t="inlineStr">
        <is>
          <t>Month</t>
        </is>
      </c>
      <c r="B42" s="30" t="inlineStr">
        <is>
          <t>Year</t>
        </is>
      </c>
      <c r="C42" s="30" t="inlineStr">
        <is>
          <t>Beginning balance</t>
        </is>
      </c>
      <c r="D42" s="30" t="inlineStr">
        <is>
          <t>Interest</t>
        </is>
      </c>
      <c r="E42" s="30" t="inlineStr">
        <is>
          <t>Principal</t>
        </is>
      </c>
      <c r="F42" s="30" t="inlineStr">
        <is>
          <t>Payment</t>
        </is>
      </c>
      <c r="G42" s="30" t="inlineStr">
        <is>
          <t>Ending balance</t>
        </is>
      </c>
    </row>
    <row r="43">
      <c r="A43" s="71" t="n">
        <v>1</v>
      </c>
      <c r="B43" s="71" t="n">
        <v>1</v>
      </c>
      <c r="C43" s="72">
        <f>$B$17</f>
        <v/>
      </c>
      <c r="D43" s="72">
        <f>C43*$B$7/12</f>
        <v/>
      </c>
      <c r="E43" s="72">
        <f>IF(1&lt;=$B$9,0,MAX(0,MIN(C43,$B$24-D43)))</f>
        <v/>
      </c>
      <c r="F43" s="72">
        <f>D43+E43</f>
        <v/>
      </c>
      <c r="G43" s="72">
        <f>C43-E43</f>
        <v/>
      </c>
    </row>
    <row r="44">
      <c r="A44" s="71" t="n">
        <v>2</v>
      </c>
      <c r="B44" s="71" t="n">
        <v>1</v>
      </c>
      <c r="C44" s="72">
        <f>G43</f>
        <v/>
      </c>
      <c r="D44" s="72">
        <f>C44*$B$7/12</f>
        <v/>
      </c>
      <c r="E44" s="72">
        <f>IF(2&lt;=$B$9,0,MAX(0,MIN(C44,$B$24-D44)))</f>
        <v/>
      </c>
      <c r="F44" s="72">
        <f>D44+E44</f>
        <v/>
      </c>
      <c r="G44" s="72">
        <f>C44-E44</f>
        <v/>
      </c>
    </row>
    <row r="45">
      <c r="A45" s="71" t="n">
        <v>3</v>
      </c>
      <c r="B45" s="71" t="n">
        <v>1</v>
      </c>
      <c r="C45" s="72">
        <f>G44</f>
        <v/>
      </c>
      <c r="D45" s="72">
        <f>C45*$B$7/12</f>
        <v/>
      </c>
      <c r="E45" s="72">
        <f>IF(3&lt;=$B$9,0,MAX(0,MIN(C45,$B$24-D45)))</f>
        <v/>
      </c>
      <c r="F45" s="72">
        <f>D45+E45</f>
        <v/>
      </c>
      <c r="G45" s="72">
        <f>C45-E45</f>
        <v/>
      </c>
    </row>
    <row r="46">
      <c r="A46" s="71" t="n">
        <v>4</v>
      </c>
      <c r="B46" s="71" t="n">
        <v>1</v>
      </c>
      <c r="C46" s="72">
        <f>G45</f>
        <v/>
      </c>
      <c r="D46" s="72">
        <f>C46*$B$7/12</f>
        <v/>
      </c>
      <c r="E46" s="72">
        <f>IF(4&lt;=$B$9,0,MAX(0,MIN(C46,$B$24-D46)))</f>
        <v/>
      </c>
      <c r="F46" s="72">
        <f>D46+E46</f>
        <v/>
      </c>
      <c r="G46" s="72">
        <f>C46-E46</f>
        <v/>
      </c>
    </row>
    <row r="47">
      <c r="A47" s="71" t="n">
        <v>5</v>
      </c>
      <c r="B47" s="71" t="n">
        <v>1</v>
      </c>
      <c r="C47" s="72">
        <f>G46</f>
        <v/>
      </c>
      <c r="D47" s="72">
        <f>C47*$B$7/12</f>
        <v/>
      </c>
      <c r="E47" s="72">
        <f>IF(5&lt;=$B$9,0,MAX(0,MIN(C47,$B$24-D47)))</f>
        <v/>
      </c>
      <c r="F47" s="72">
        <f>D47+E47</f>
        <v/>
      </c>
      <c r="G47" s="72">
        <f>C47-E47</f>
        <v/>
      </c>
    </row>
    <row r="48">
      <c r="A48" s="71" t="n">
        <v>6</v>
      </c>
      <c r="B48" s="71" t="n">
        <v>1</v>
      </c>
      <c r="C48" s="72">
        <f>G47</f>
        <v/>
      </c>
      <c r="D48" s="72">
        <f>C48*$B$7/12</f>
        <v/>
      </c>
      <c r="E48" s="72">
        <f>IF(6&lt;=$B$9,0,MAX(0,MIN(C48,$B$24-D48)))</f>
        <v/>
      </c>
      <c r="F48" s="72">
        <f>D48+E48</f>
        <v/>
      </c>
      <c r="G48" s="72">
        <f>C48-E48</f>
        <v/>
      </c>
    </row>
    <row r="49">
      <c r="A49" s="71" t="n">
        <v>7</v>
      </c>
      <c r="B49" s="71" t="n">
        <v>1</v>
      </c>
      <c r="C49" s="72">
        <f>G48</f>
        <v/>
      </c>
      <c r="D49" s="72">
        <f>C49*$B$7/12</f>
        <v/>
      </c>
      <c r="E49" s="72">
        <f>IF(7&lt;=$B$9,0,MAX(0,MIN(C49,$B$24-D49)))</f>
        <v/>
      </c>
      <c r="F49" s="72">
        <f>D49+E49</f>
        <v/>
      </c>
      <c r="G49" s="72">
        <f>C49-E49</f>
        <v/>
      </c>
    </row>
    <row r="50">
      <c r="A50" s="71" t="n">
        <v>8</v>
      </c>
      <c r="B50" s="71" t="n">
        <v>1</v>
      </c>
      <c r="C50" s="72">
        <f>G49</f>
        <v/>
      </c>
      <c r="D50" s="72">
        <f>C50*$B$7/12</f>
        <v/>
      </c>
      <c r="E50" s="72">
        <f>IF(8&lt;=$B$9,0,MAX(0,MIN(C50,$B$24-D50)))</f>
        <v/>
      </c>
      <c r="F50" s="72">
        <f>D50+E50</f>
        <v/>
      </c>
      <c r="G50" s="72">
        <f>C50-E50</f>
        <v/>
      </c>
    </row>
    <row r="51">
      <c r="A51" s="71" t="n">
        <v>9</v>
      </c>
      <c r="B51" s="71" t="n">
        <v>1</v>
      </c>
      <c r="C51" s="72">
        <f>G50</f>
        <v/>
      </c>
      <c r="D51" s="72">
        <f>C51*$B$7/12</f>
        <v/>
      </c>
      <c r="E51" s="72">
        <f>IF(9&lt;=$B$9,0,MAX(0,MIN(C51,$B$24-D51)))</f>
        <v/>
      </c>
      <c r="F51" s="72">
        <f>D51+E51</f>
        <v/>
      </c>
      <c r="G51" s="72">
        <f>C51-E51</f>
        <v/>
      </c>
    </row>
    <row r="52">
      <c r="A52" s="71" t="n">
        <v>10</v>
      </c>
      <c r="B52" s="71" t="n">
        <v>1</v>
      </c>
      <c r="C52" s="72">
        <f>G51</f>
        <v/>
      </c>
      <c r="D52" s="72">
        <f>C52*$B$7/12</f>
        <v/>
      </c>
      <c r="E52" s="72">
        <f>IF(10&lt;=$B$9,0,MAX(0,MIN(C52,$B$24-D52)))</f>
        <v/>
      </c>
      <c r="F52" s="72">
        <f>D52+E52</f>
        <v/>
      </c>
      <c r="G52" s="72">
        <f>C52-E52</f>
        <v/>
      </c>
    </row>
    <row r="53">
      <c r="A53" s="71" t="n">
        <v>11</v>
      </c>
      <c r="B53" s="71" t="n">
        <v>1</v>
      </c>
      <c r="C53" s="72">
        <f>G52</f>
        <v/>
      </c>
      <c r="D53" s="72">
        <f>C53*$B$7/12</f>
        <v/>
      </c>
      <c r="E53" s="72">
        <f>IF(11&lt;=$B$9,0,MAX(0,MIN(C53,$B$24-D53)))</f>
        <v/>
      </c>
      <c r="F53" s="72">
        <f>D53+E53</f>
        <v/>
      </c>
      <c r="G53" s="72">
        <f>C53-E53</f>
        <v/>
      </c>
    </row>
    <row r="54">
      <c r="A54" s="71" t="n">
        <v>12</v>
      </c>
      <c r="B54" s="71" t="n">
        <v>1</v>
      </c>
      <c r="C54" s="72">
        <f>G53</f>
        <v/>
      </c>
      <c r="D54" s="72">
        <f>C54*$B$7/12</f>
        <v/>
      </c>
      <c r="E54" s="72">
        <f>IF(12&lt;=$B$9,0,MAX(0,MIN(C54,$B$24-D54)))</f>
        <v/>
      </c>
      <c r="F54" s="72">
        <f>D54+E54</f>
        <v/>
      </c>
      <c r="G54" s="72">
        <f>C54-E54</f>
        <v/>
      </c>
    </row>
    <row r="55">
      <c r="A55" s="71" t="n">
        <v>13</v>
      </c>
      <c r="B55" s="71" t="n">
        <v>2</v>
      </c>
      <c r="C55" s="72">
        <f>G54</f>
        <v/>
      </c>
      <c r="D55" s="72">
        <f>C55*$B$7/12</f>
        <v/>
      </c>
      <c r="E55" s="72">
        <f>IF(13&lt;=$B$9,0,MAX(0,MIN(C55,$B$24-D55)))</f>
        <v/>
      </c>
      <c r="F55" s="72">
        <f>D55+E55</f>
        <v/>
      </c>
      <c r="G55" s="72">
        <f>C55-E55</f>
        <v/>
      </c>
    </row>
    <row r="56">
      <c r="A56" s="71" t="n">
        <v>14</v>
      </c>
      <c r="B56" s="71" t="n">
        <v>2</v>
      </c>
      <c r="C56" s="72">
        <f>G55</f>
        <v/>
      </c>
      <c r="D56" s="72">
        <f>C56*$B$7/12</f>
        <v/>
      </c>
      <c r="E56" s="72">
        <f>IF(14&lt;=$B$9,0,MAX(0,MIN(C56,$B$24-D56)))</f>
        <v/>
      </c>
      <c r="F56" s="72">
        <f>D56+E56</f>
        <v/>
      </c>
      <c r="G56" s="72">
        <f>C56-E56</f>
        <v/>
      </c>
    </row>
    <row r="57">
      <c r="A57" s="71" t="n">
        <v>15</v>
      </c>
      <c r="B57" s="71" t="n">
        <v>2</v>
      </c>
      <c r="C57" s="72">
        <f>G56</f>
        <v/>
      </c>
      <c r="D57" s="72">
        <f>C57*$B$7/12</f>
        <v/>
      </c>
      <c r="E57" s="72">
        <f>IF(15&lt;=$B$9,0,MAX(0,MIN(C57,$B$24-D57)))</f>
        <v/>
      </c>
      <c r="F57" s="72">
        <f>D57+E57</f>
        <v/>
      </c>
      <c r="G57" s="72">
        <f>C57-E57</f>
        <v/>
      </c>
    </row>
    <row r="58">
      <c r="A58" s="71" t="n">
        <v>16</v>
      </c>
      <c r="B58" s="71" t="n">
        <v>2</v>
      </c>
      <c r="C58" s="72">
        <f>G57</f>
        <v/>
      </c>
      <c r="D58" s="72">
        <f>C58*$B$7/12</f>
        <v/>
      </c>
      <c r="E58" s="72">
        <f>IF(16&lt;=$B$9,0,MAX(0,MIN(C58,$B$24-D58)))</f>
        <v/>
      </c>
      <c r="F58" s="72">
        <f>D58+E58</f>
        <v/>
      </c>
      <c r="G58" s="72">
        <f>C58-E58</f>
        <v/>
      </c>
    </row>
    <row r="59">
      <c r="A59" s="71" t="n">
        <v>17</v>
      </c>
      <c r="B59" s="71" t="n">
        <v>2</v>
      </c>
      <c r="C59" s="72">
        <f>G58</f>
        <v/>
      </c>
      <c r="D59" s="72">
        <f>C59*$B$7/12</f>
        <v/>
      </c>
      <c r="E59" s="72">
        <f>IF(17&lt;=$B$9,0,MAX(0,MIN(C59,$B$24-D59)))</f>
        <v/>
      </c>
      <c r="F59" s="72">
        <f>D59+E59</f>
        <v/>
      </c>
      <c r="G59" s="72">
        <f>C59-E59</f>
        <v/>
      </c>
    </row>
    <row r="60">
      <c r="A60" s="71" t="n">
        <v>18</v>
      </c>
      <c r="B60" s="71" t="n">
        <v>2</v>
      </c>
      <c r="C60" s="72">
        <f>G59</f>
        <v/>
      </c>
      <c r="D60" s="72">
        <f>C60*$B$7/12</f>
        <v/>
      </c>
      <c r="E60" s="72">
        <f>IF(18&lt;=$B$9,0,MAX(0,MIN(C60,$B$24-D60)))</f>
        <v/>
      </c>
      <c r="F60" s="72">
        <f>D60+E60</f>
        <v/>
      </c>
      <c r="G60" s="72">
        <f>C60-E60</f>
        <v/>
      </c>
    </row>
    <row r="61">
      <c r="A61" s="71" t="n">
        <v>19</v>
      </c>
      <c r="B61" s="71" t="n">
        <v>2</v>
      </c>
      <c r="C61" s="72">
        <f>G60</f>
        <v/>
      </c>
      <c r="D61" s="72">
        <f>C61*$B$7/12</f>
        <v/>
      </c>
      <c r="E61" s="72">
        <f>IF(19&lt;=$B$9,0,MAX(0,MIN(C61,$B$24-D61)))</f>
        <v/>
      </c>
      <c r="F61" s="72">
        <f>D61+E61</f>
        <v/>
      </c>
      <c r="G61" s="72">
        <f>C61-E61</f>
        <v/>
      </c>
    </row>
    <row r="62">
      <c r="A62" s="71" t="n">
        <v>20</v>
      </c>
      <c r="B62" s="71" t="n">
        <v>2</v>
      </c>
      <c r="C62" s="72">
        <f>G61</f>
        <v/>
      </c>
      <c r="D62" s="72">
        <f>C62*$B$7/12</f>
        <v/>
      </c>
      <c r="E62" s="72">
        <f>IF(20&lt;=$B$9,0,MAX(0,MIN(C62,$B$24-D62)))</f>
        <v/>
      </c>
      <c r="F62" s="72">
        <f>D62+E62</f>
        <v/>
      </c>
      <c r="G62" s="72">
        <f>C62-E62</f>
        <v/>
      </c>
    </row>
    <row r="63">
      <c r="A63" s="71" t="n">
        <v>21</v>
      </c>
      <c r="B63" s="71" t="n">
        <v>2</v>
      </c>
      <c r="C63" s="72">
        <f>G62</f>
        <v/>
      </c>
      <c r="D63" s="72">
        <f>C63*$B$7/12</f>
        <v/>
      </c>
      <c r="E63" s="72">
        <f>IF(21&lt;=$B$9,0,MAX(0,MIN(C63,$B$24-D63)))</f>
        <v/>
      </c>
      <c r="F63" s="72">
        <f>D63+E63</f>
        <v/>
      </c>
      <c r="G63" s="72">
        <f>C63-E63</f>
        <v/>
      </c>
    </row>
    <row r="64">
      <c r="A64" s="71" t="n">
        <v>22</v>
      </c>
      <c r="B64" s="71" t="n">
        <v>2</v>
      </c>
      <c r="C64" s="72">
        <f>G63</f>
        <v/>
      </c>
      <c r="D64" s="72">
        <f>C64*$B$7/12</f>
        <v/>
      </c>
      <c r="E64" s="72">
        <f>IF(22&lt;=$B$9,0,MAX(0,MIN(C64,$B$24-D64)))</f>
        <v/>
      </c>
      <c r="F64" s="72">
        <f>D64+E64</f>
        <v/>
      </c>
      <c r="G64" s="72">
        <f>C64-E64</f>
        <v/>
      </c>
    </row>
    <row r="65">
      <c r="A65" s="71" t="n">
        <v>23</v>
      </c>
      <c r="B65" s="71" t="n">
        <v>2</v>
      </c>
      <c r="C65" s="72">
        <f>G64</f>
        <v/>
      </c>
      <c r="D65" s="72">
        <f>C65*$B$7/12</f>
        <v/>
      </c>
      <c r="E65" s="72">
        <f>IF(23&lt;=$B$9,0,MAX(0,MIN(C65,$B$24-D65)))</f>
        <v/>
      </c>
      <c r="F65" s="72">
        <f>D65+E65</f>
        <v/>
      </c>
      <c r="G65" s="72">
        <f>C65-E65</f>
        <v/>
      </c>
    </row>
    <row r="66">
      <c r="A66" s="71" t="n">
        <v>24</v>
      </c>
      <c r="B66" s="71" t="n">
        <v>2</v>
      </c>
      <c r="C66" s="72">
        <f>G65</f>
        <v/>
      </c>
      <c r="D66" s="72">
        <f>C66*$B$7/12</f>
        <v/>
      </c>
      <c r="E66" s="72">
        <f>IF(24&lt;=$B$9,0,MAX(0,MIN(C66,$B$24-D66)))</f>
        <v/>
      </c>
      <c r="F66" s="72">
        <f>D66+E66</f>
        <v/>
      </c>
      <c r="G66" s="72">
        <f>C66-E66</f>
        <v/>
      </c>
    </row>
    <row r="67">
      <c r="A67" s="71" t="n">
        <v>25</v>
      </c>
      <c r="B67" s="71" t="n">
        <v>3</v>
      </c>
      <c r="C67" s="72">
        <f>G66</f>
        <v/>
      </c>
      <c r="D67" s="72">
        <f>C67*$B$7/12</f>
        <v/>
      </c>
      <c r="E67" s="72">
        <f>IF(25&lt;=$B$9,0,MAX(0,MIN(C67,$B$24-D67)))</f>
        <v/>
      </c>
      <c r="F67" s="72">
        <f>D67+E67</f>
        <v/>
      </c>
      <c r="G67" s="72">
        <f>C67-E67</f>
        <v/>
      </c>
    </row>
    <row r="68">
      <c r="A68" s="71" t="n">
        <v>26</v>
      </c>
      <c r="B68" s="71" t="n">
        <v>3</v>
      </c>
      <c r="C68" s="72">
        <f>G67</f>
        <v/>
      </c>
      <c r="D68" s="72">
        <f>C68*$B$7/12</f>
        <v/>
      </c>
      <c r="E68" s="72">
        <f>IF(26&lt;=$B$9,0,MAX(0,MIN(C68,$B$24-D68)))</f>
        <v/>
      </c>
      <c r="F68" s="72">
        <f>D68+E68</f>
        <v/>
      </c>
      <c r="G68" s="72">
        <f>C68-E68</f>
        <v/>
      </c>
    </row>
    <row r="69">
      <c r="A69" s="71" t="n">
        <v>27</v>
      </c>
      <c r="B69" s="71" t="n">
        <v>3</v>
      </c>
      <c r="C69" s="72">
        <f>G68</f>
        <v/>
      </c>
      <c r="D69" s="72">
        <f>C69*$B$7/12</f>
        <v/>
      </c>
      <c r="E69" s="72">
        <f>IF(27&lt;=$B$9,0,MAX(0,MIN(C69,$B$24-D69)))</f>
        <v/>
      </c>
      <c r="F69" s="72">
        <f>D69+E69</f>
        <v/>
      </c>
      <c r="G69" s="72">
        <f>C69-E69</f>
        <v/>
      </c>
    </row>
    <row r="70">
      <c r="A70" s="71" t="n">
        <v>28</v>
      </c>
      <c r="B70" s="71" t="n">
        <v>3</v>
      </c>
      <c r="C70" s="72">
        <f>G69</f>
        <v/>
      </c>
      <c r="D70" s="72">
        <f>C70*$B$7/12</f>
        <v/>
      </c>
      <c r="E70" s="72">
        <f>IF(28&lt;=$B$9,0,MAX(0,MIN(C70,$B$24-D70)))</f>
        <v/>
      </c>
      <c r="F70" s="72">
        <f>D70+E70</f>
        <v/>
      </c>
      <c r="G70" s="72">
        <f>C70-E70</f>
        <v/>
      </c>
    </row>
    <row r="71">
      <c r="A71" s="71" t="n">
        <v>29</v>
      </c>
      <c r="B71" s="71" t="n">
        <v>3</v>
      </c>
      <c r="C71" s="72">
        <f>G70</f>
        <v/>
      </c>
      <c r="D71" s="72">
        <f>C71*$B$7/12</f>
        <v/>
      </c>
      <c r="E71" s="72">
        <f>IF(29&lt;=$B$9,0,MAX(0,MIN(C71,$B$24-D71)))</f>
        <v/>
      </c>
      <c r="F71" s="72">
        <f>D71+E71</f>
        <v/>
      </c>
      <c r="G71" s="72">
        <f>C71-E71</f>
        <v/>
      </c>
    </row>
    <row r="72">
      <c r="A72" s="71" t="n">
        <v>30</v>
      </c>
      <c r="B72" s="71" t="n">
        <v>3</v>
      </c>
      <c r="C72" s="72">
        <f>G71</f>
        <v/>
      </c>
      <c r="D72" s="72">
        <f>C72*$B$7/12</f>
        <v/>
      </c>
      <c r="E72" s="72">
        <f>IF(30&lt;=$B$9,0,MAX(0,MIN(C72,$B$24-D72)))</f>
        <v/>
      </c>
      <c r="F72" s="72">
        <f>D72+E72</f>
        <v/>
      </c>
      <c r="G72" s="72">
        <f>C72-E72</f>
        <v/>
      </c>
    </row>
    <row r="73">
      <c r="A73" s="71" t="n">
        <v>31</v>
      </c>
      <c r="B73" s="71" t="n">
        <v>3</v>
      </c>
      <c r="C73" s="72">
        <f>G72</f>
        <v/>
      </c>
      <c r="D73" s="72">
        <f>C73*$B$7/12</f>
        <v/>
      </c>
      <c r="E73" s="72">
        <f>IF(31&lt;=$B$9,0,MAX(0,MIN(C73,$B$24-D73)))</f>
        <v/>
      </c>
      <c r="F73" s="72">
        <f>D73+E73</f>
        <v/>
      </c>
      <c r="G73" s="72">
        <f>C73-E73</f>
        <v/>
      </c>
    </row>
    <row r="74">
      <c r="A74" s="71" t="n">
        <v>32</v>
      </c>
      <c r="B74" s="71" t="n">
        <v>3</v>
      </c>
      <c r="C74" s="72">
        <f>G73</f>
        <v/>
      </c>
      <c r="D74" s="72">
        <f>C74*$B$7/12</f>
        <v/>
      </c>
      <c r="E74" s="72">
        <f>IF(32&lt;=$B$9,0,MAX(0,MIN(C74,$B$24-D74)))</f>
        <v/>
      </c>
      <c r="F74" s="72">
        <f>D74+E74</f>
        <v/>
      </c>
      <c r="G74" s="72">
        <f>C74-E74</f>
        <v/>
      </c>
    </row>
    <row r="75">
      <c r="A75" s="71" t="n">
        <v>33</v>
      </c>
      <c r="B75" s="71" t="n">
        <v>3</v>
      </c>
      <c r="C75" s="72">
        <f>G74</f>
        <v/>
      </c>
      <c r="D75" s="72">
        <f>C75*$B$7/12</f>
        <v/>
      </c>
      <c r="E75" s="72">
        <f>IF(33&lt;=$B$9,0,MAX(0,MIN(C75,$B$24-D75)))</f>
        <v/>
      </c>
      <c r="F75" s="72">
        <f>D75+E75</f>
        <v/>
      </c>
      <c r="G75" s="72">
        <f>C75-E75</f>
        <v/>
      </c>
    </row>
    <row r="76">
      <c r="A76" s="71" t="n">
        <v>34</v>
      </c>
      <c r="B76" s="71" t="n">
        <v>3</v>
      </c>
      <c r="C76" s="72">
        <f>G75</f>
        <v/>
      </c>
      <c r="D76" s="72">
        <f>C76*$B$7/12</f>
        <v/>
      </c>
      <c r="E76" s="72">
        <f>IF(34&lt;=$B$9,0,MAX(0,MIN(C76,$B$24-D76)))</f>
        <v/>
      </c>
      <c r="F76" s="72">
        <f>D76+E76</f>
        <v/>
      </c>
      <c r="G76" s="72">
        <f>C76-E76</f>
        <v/>
      </c>
    </row>
    <row r="77">
      <c r="A77" s="71" t="n">
        <v>35</v>
      </c>
      <c r="B77" s="71" t="n">
        <v>3</v>
      </c>
      <c r="C77" s="72">
        <f>G76</f>
        <v/>
      </c>
      <c r="D77" s="72">
        <f>C77*$B$7/12</f>
        <v/>
      </c>
      <c r="E77" s="72">
        <f>IF(35&lt;=$B$9,0,MAX(0,MIN(C77,$B$24-D77)))</f>
        <v/>
      </c>
      <c r="F77" s="72">
        <f>D77+E77</f>
        <v/>
      </c>
      <c r="G77" s="72">
        <f>C77-E77</f>
        <v/>
      </c>
    </row>
    <row r="78">
      <c r="A78" s="71" t="n">
        <v>36</v>
      </c>
      <c r="B78" s="71" t="n">
        <v>3</v>
      </c>
      <c r="C78" s="72">
        <f>G77</f>
        <v/>
      </c>
      <c r="D78" s="72">
        <f>C78*$B$7/12</f>
        <v/>
      </c>
      <c r="E78" s="72">
        <f>IF(36&lt;=$B$9,0,MAX(0,MIN(C78,$B$24-D78)))</f>
        <v/>
      </c>
      <c r="F78" s="72">
        <f>D78+E78</f>
        <v/>
      </c>
      <c r="G78" s="72">
        <f>C78-E78</f>
        <v/>
      </c>
    </row>
    <row r="79">
      <c r="A79" s="71" t="n">
        <v>37</v>
      </c>
      <c r="B79" s="71" t="n">
        <v>4</v>
      </c>
      <c r="C79" s="72">
        <f>G78</f>
        <v/>
      </c>
      <c r="D79" s="72">
        <f>C79*$B$7/12</f>
        <v/>
      </c>
      <c r="E79" s="72">
        <f>IF(37&lt;=$B$9,0,MAX(0,MIN(C79,$B$24-D79)))</f>
        <v/>
      </c>
      <c r="F79" s="72">
        <f>D79+E79</f>
        <v/>
      </c>
      <c r="G79" s="72">
        <f>C79-E79</f>
        <v/>
      </c>
    </row>
    <row r="80">
      <c r="A80" s="71" t="n">
        <v>38</v>
      </c>
      <c r="B80" s="71" t="n">
        <v>4</v>
      </c>
      <c r="C80" s="72">
        <f>G79</f>
        <v/>
      </c>
      <c r="D80" s="72">
        <f>C80*$B$7/12</f>
        <v/>
      </c>
      <c r="E80" s="72">
        <f>IF(38&lt;=$B$9,0,MAX(0,MIN(C80,$B$24-D80)))</f>
        <v/>
      </c>
      <c r="F80" s="72">
        <f>D80+E80</f>
        <v/>
      </c>
      <c r="G80" s="72">
        <f>C80-E80</f>
        <v/>
      </c>
    </row>
    <row r="81">
      <c r="A81" s="71" t="n">
        <v>39</v>
      </c>
      <c r="B81" s="71" t="n">
        <v>4</v>
      </c>
      <c r="C81" s="72">
        <f>G80</f>
        <v/>
      </c>
      <c r="D81" s="72">
        <f>C81*$B$7/12</f>
        <v/>
      </c>
      <c r="E81" s="72">
        <f>IF(39&lt;=$B$9,0,MAX(0,MIN(C81,$B$24-D81)))</f>
        <v/>
      </c>
      <c r="F81" s="72">
        <f>D81+E81</f>
        <v/>
      </c>
      <c r="G81" s="72">
        <f>C81-E81</f>
        <v/>
      </c>
    </row>
    <row r="82">
      <c r="A82" s="71" t="n">
        <v>40</v>
      </c>
      <c r="B82" s="71" t="n">
        <v>4</v>
      </c>
      <c r="C82" s="72">
        <f>G81</f>
        <v/>
      </c>
      <c r="D82" s="72">
        <f>C82*$B$7/12</f>
        <v/>
      </c>
      <c r="E82" s="72">
        <f>IF(40&lt;=$B$9,0,MAX(0,MIN(C82,$B$24-D82)))</f>
        <v/>
      </c>
      <c r="F82" s="72">
        <f>D82+E82</f>
        <v/>
      </c>
      <c r="G82" s="72">
        <f>C82-E82</f>
        <v/>
      </c>
    </row>
    <row r="83">
      <c r="A83" s="71" t="n">
        <v>41</v>
      </c>
      <c r="B83" s="71" t="n">
        <v>4</v>
      </c>
      <c r="C83" s="72">
        <f>G82</f>
        <v/>
      </c>
      <c r="D83" s="72">
        <f>C83*$B$7/12</f>
        <v/>
      </c>
      <c r="E83" s="72">
        <f>IF(41&lt;=$B$9,0,MAX(0,MIN(C83,$B$24-D83)))</f>
        <v/>
      </c>
      <c r="F83" s="72">
        <f>D83+E83</f>
        <v/>
      </c>
      <c r="G83" s="72">
        <f>C83-E83</f>
        <v/>
      </c>
    </row>
    <row r="84">
      <c r="A84" s="71" t="n">
        <v>42</v>
      </c>
      <c r="B84" s="71" t="n">
        <v>4</v>
      </c>
      <c r="C84" s="72">
        <f>G83</f>
        <v/>
      </c>
      <c r="D84" s="72">
        <f>C84*$B$7/12</f>
        <v/>
      </c>
      <c r="E84" s="72">
        <f>IF(42&lt;=$B$9,0,MAX(0,MIN(C84,$B$24-D84)))</f>
        <v/>
      </c>
      <c r="F84" s="72">
        <f>D84+E84</f>
        <v/>
      </c>
      <c r="G84" s="72">
        <f>C84-E84</f>
        <v/>
      </c>
    </row>
    <row r="85">
      <c r="A85" s="71" t="n">
        <v>43</v>
      </c>
      <c r="B85" s="71" t="n">
        <v>4</v>
      </c>
      <c r="C85" s="72">
        <f>G84</f>
        <v/>
      </c>
      <c r="D85" s="72">
        <f>C85*$B$7/12</f>
        <v/>
      </c>
      <c r="E85" s="72">
        <f>IF(43&lt;=$B$9,0,MAX(0,MIN(C85,$B$24-D85)))</f>
        <v/>
      </c>
      <c r="F85" s="72">
        <f>D85+E85</f>
        <v/>
      </c>
      <c r="G85" s="72">
        <f>C85-E85</f>
        <v/>
      </c>
    </row>
    <row r="86">
      <c r="A86" s="71" t="n">
        <v>44</v>
      </c>
      <c r="B86" s="71" t="n">
        <v>4</v>
      </c>
      <c r="C86" s="72">
        <f>G85</f>
        <v/>
      </c>
      <c r="D86" s="72">
        <f>C86*$B$7/12</f>
        <v/>
      </c>
      <c r="E86" s="72">
        <f>IF(44&lt;=$B$9,0,MAX(0,MIN(C86,$B$24-D86)))</f>
        <v/>
      </c>
      <c r="F86" s="72">
        <f>D86+E86</f>
        <v/>
      </c>
      <c r="G86" s="72">
        <f>C86-E86</f>
        <v/>
      </c>
    </row>
    <row r="87">
      <c r="A87" s="71" t="n">
        <v>45</v>
      </c>
      <c r="B87" s="71" t="n">
        <v>4</v>
      </c>
      <c r="C87" s="72">
        <f>G86</f>
        <v/>
      </c>
      <c r="D87" s="72">
        <f>C87*$B$7/12</f>
        <v/>
      </c>
      <c r="E87" s="72">
        <f>IF(45&lt;=$B$9,0,MAX(0,MIN(C87,$B$24-D87)))</f>
        <v/>
      </c>
      <c r="F87" s="72">
        <f>D87+E87</f>
        <v/>
      </c>
      <c r="G87" s="72">
        <f>C87-E87</f>
        <v/>
      </c>
    </row>
    <row r="88">
      <c r="A88" s="71" t="n">
        <v>46</v>
      </c>
      <c r="B88" s="71" t="n">
        <v>4</v>
      </c>
      <c r="C88" s="72">
        <f>G87</f>
        <v/>
      </c>
      <c r="D88" s="72">
        <f>C88*$B$7/12</f>
        <v/>
      </c>
      <c r="E88" s="72">
        <f>IF(46&lt;=$B$9,0,MAX(0,MIN(C88,$B$24-D88)))</f>
        <v/>
      </c>
      <c r="F88" s="72">
        <f>D88+E88</f>
        <v/>
      </c>
      <c r="G88" s="72">
        <f>C88-E88</f>
        <v/>
      </c>
    </row>
    <row r="89">
      <c r="A89" s="71" t="n">
        <v>47</v>
      </c>
      <c r="B89" s="71" t="n">
        <v>4</v>
      </c>
      <c r="C89" s="72">
        <f>G88</f>
        <v/>
      </c>
      <c r="D89" s="72">
        <f>C89*$B$7/12</f>
        <v/>
      </c>
      <c r="E89" s="72">
        <f>IF(47&lt;=$B$9,0,MAX(0,MIN(C89,$B$24-D89)))</f>
        <v/>
      </c>
      <c r="F89" s="72">
        <f>D89+E89</f>
        <v/>
      </c>
      <c r="G89" s="72">
        <f>C89-E89</f>
        <v/>
      </c>
    </row>
    <row r="90">
      <c r="A90" s="71" t="n">
        <v>48</v>
      </c>
      <c r="B90" s="71" t="n">
        <v>4</v>
      </c>
      <c r="C90" s="72">
        <f>G89</f>
        <v/>
      </c>
      <c r="D90" s="72">
        <f>C90*$B$7/12</f>
        <v/>
      </c>
      <c r="E90" s="72">
        <f>IF(48&lt;=$B$9,0,MAX(0,MIN(C90,$B$24-D90)))</f>
        <v/>
      </c>
      <c r="F90" s="72">
        <f>D90+E90</f>
        <v/>
      </c>
      <c r="G90" s="72">
        <f>C90-E90</f>
        <v/>
      </c>
    </row>
    <row r="91">
      <c r="A91" s="71" t="n">
        <v>49</v>
      </c>
      <c r="B91" s="71" t="n">
        <v>5</v>
      </c>
      <c r="C91" s="72">
        <f>G90</f>
        <v/>
      </c>
      <c r="D91" s="72">
        <f>C91*$B$7/12</f>
        <v/>
      </c>
      <c r="E91" s="72">
        <f>IF(49&lt;=$B$9,0,MAX(0,MIN(C91,$B$24-D91)))</f>
        <v/>
      </c>
      <c r="F91" s="72">
        <f>D91+E91</f>
        <v/>
      </c>
      <c r="G91" s="72">
        <f>C91-E91</f>
        <v/>
      </c>
    </row>
    <row r="92">
      <c r="A92" s="71" t="n">
        <v>50</v>
      </c>
      <c r="B92" s="71" t="n">
        <v>5</v>
      </c>
      <c r="C92" s="72">
        <f>G91</f>
        <v/>
      </c>
      <c r="D92" s="72">
        <f>C92*$B$7/12</f>
        <v/>
      </c>
      <c r="E92" s="72">
        <f>IF(50&lt;=$B$9,0,MAX(0,MIN(C92,$B$24-D92)))</f>
        <v/>
      </c>
      <c r="F92" s="72">
        <f>D92+E92</f>
        <v/>
      </c>
      <c r="G92" s="72">
        <f>C92-E92</f>
        <v/>
      </c>
    </row>
    <row r="93">
      <c r="A93" s="71" t="n">
        <v>51</v>
      </c>
      <c r="B93" s="71" t="n">
        <v>5</v>
      </c>
      <c r="C93" s="72">
        <f>G92</f>
        <v/>
      </c>
      <c r="D93" s="72">
        <f>C93*$B$7/12</f>
        <v/>
      </c>
      <c r="E93" s="72">
        <f>IF(51&lt;=$B$9,0,MAX(0,MIN(C93,$B$24-D93)))</f>
        <v/>
      </c>
      <c r="F93" s="72">
        <f>D93+E93</f>
        <v/>
      </c>
      <c r="G93" s="72">
        <f>C93-E93</f>
        <v/>
      </c>
    </row>
    <row r="94">
      <c r="A94" s="71" t="n">
        <v>52</v>
      </c>
      <c r="B94" s="71" t="n">
        <v>5</v>
      </c>
      <c r="C94" s="72">
        <f>G93</f>
        <v/>
      </c>
      <c r="D94" s="72">
        <f>C94*$B$7/12</f>
        <v/>
      </c>
      <c r="E94" s="72">
        <f>IF(52&lt;=$B$9,0,MAX(0,MIN(C94,$B$24-D94)))</f>
        <v/>
      </c>
      <c r="F94" s="72">
        <f>D94+E94</f>
        <v/>
      </c>
      <c r="G94" s="72">
        <f>C94-E94</f>
        <v/>
      </c>
    </row>
    <row r="95">
      <c r="A95" s="71" t="n">
        <v>53</v>
      </c>
      <c r="B95" s="71" t="n">
        <v>5</v>
      </c>
      <c r="C95" s="72">
        <f>G94</f>
        <v/>
      </c>
      <c r="D95" s="72">
        <f>C95*$B$7/12</f>
        <v/>
      </c>
      <c r="E95" s="72">
        <f>IF(53&lt;=$B$9,0,MAX(0,MIN(C95,$B$24-D95)))</f>
        <v/>
      </c>
      <c r="F95" s="72">
        <f>D95+E95</f>
        <v/>
      </c>
      <c r="G95" s="72">
        <f>C95-E95</f>
        <v/>
      </c>
    </row>
    <row r="96">
      <c r="A96" s="71" t="n">
        <v>54</v>
      </c>
      <c r="B96" s="71" t="n">
        <v>5</v>
      </c>
      <c r="C96" s="72">
        <f>G95</f>
        <v/>
      </c>
      <c r="D96" s="72">
        <f>C96*$B$7/12</f>
        <v/>
      </c>
      <c r="E96" s="72">
        <f>IF(54&lt;=$B$9,0,MAX(0,MIN(C96,$B$24-D96)))</f>
        <v/>
      </c>
      <c r="F96" s="72">
        <f>D96+E96</f>
        <v/>
      </c>
      <c r="G96" s="72">
        <f>C96-E96</f>
        <v/>
      </c>
    </row>
    <row r="97">
      <c r="A97" s="71" t="n">
        <v>55</v>
      </c>
      <c r="B97" s="71" t="n">
        <v>5</v>
      </c>
      <c r="C97" s="72">
        <f>G96</f>
        <v/>
      </c>
      <c r="D97" s="72">
        <f>C97*$B$7/12</f>
        <v/>
      </c>
      <c r="E97" s="72">
        <f>IF(55&lt;=$B$9,0,MAX(0,MIN(C97,$B$24-D97)))</f>
        <v/>
      </c>
      <c r="F97" s="72">
        <f>D97+E97</f>
        <v/>
      </c>
      <c r="G97" s="72">
        <f>C97-E97</f>
        <v/>
      </c>
    </row>
    <row r="98">
      <c r="A98" s="71" t="n">
        <v>56</v>
      </c>
      <c r="B98" s="71" t="n">
        <v>5</v>
      </c>
      <c r="C98" s="72">
        <f>G97</f>
        <v/>
      </c>
      <c r="D98" s="72">
        <f>C98*$B$7/12</f>
        <v/>
      </c>
      <c r="E98" s="72">
        <f>IF(56&lt;=$B$9,0,MAX(0,MIN(C98,$B$24-D98)))</f>
        <v/>
      </c>
      <c r="F98" s="72">
        <f>D98+E98</f>
        <v/>
      </c>
      <c r="G98" s="72">
        <f>C98-E98</f>
        <v/>
      </c>
    </row>
    <row r="99">
      <c r="A99" s="71" t="n">
        <v>57</v>
      </c>
      <c r="B99" s="71" t="n">
        <v>5</v>
      </c>
      <c r="C99" s="72">
        <f>G98</f>
        <v/>
      </c>
      <c r="D99" s="72">
        <f>C99*$B$7/12</f>
        <v/>
      </c>
      <c r="E99" s="72">
        <f>IF(57&lt;=$B$9,0,MAX(0,MIN(C99,$B$24-D99)))</f>
        <v/>
      </c>
      <c r="F99" s="72">
        <f>D99+E99</f>
        <v/>
      </c>
      <c r="G99" s="72">
        <f>C99-E99</f>
        <v/>
      </c>
    </row>
    <row r="100">
      <c r="A100" s="71" t="n">
        <v>58</v>
      </c>
      <c r="B100" s="71" t="n">
        <v>5</v>
      </c>
      <c r="C100" s="72">
        <f>G99</f>
        <v/>
      </c>
      <c r="D100" s="72">
        <f>C100*$B$7/12</f>
        <v/>
      </c>
      <c r="E100" s="72">
        <f>IF(58&lt;=$B$9,0,MAX(0,MIN(C100,$B$24-D100)))</f>
        <v/>
      </c>
      <c r="F100" s="72">
        <f>D100+E100</f>
        <v/>
      </c>
      <c r="G100" s="72">
        <f>C100-E100</f>
        <v/>
      </c>
    </row>
    <row r="101">
      <c r="A101" s="71" t="n">
        <v>59</v>
      </c>
      <c r="B101" s="71" t="n">
        <v>5</v>
      </c>
      <c r="C101" s="72">
        <f>G100</f>
        <v/>
      </c>
      <c r="D101" s="72">
        <f>C101*$B$7/12</f>
        <v/>
      </c>
      <c r="E101" s="72">
        <f>IF(59&lt;=$B$9,0,MAX(0,MIN(C101,$B$24-D101)))</f>
        <v/>
      </c>
      <c r="F101" s="72">
        <f>D101+E101</f>
        <v/>
      </c>
      <c r="G101" s="72">
        <f>C101-E101</f>
        <v/>
      </c>
    </row>
    <row r="102">
      <c r="A102" s="71" t="n">
        <v>60</v>
      </c>
      <c r="B102" s="71" t="n">
        <v>5</v>
      </c>
      <c r="C102" s="72">
        <f>G101</f>
        <v/>
      </c>
      <c r="D102" s="72">
        <f>C102*$B$7/12</f>
        <v/>
      </c>
      <c r="E102" s="72">
        <f>IF(60&lt;=$B$9,0,MAX(0,MIN(C102,$B$24-D102)))</f>
        <v/>
      </c>
      <c r="F102" s="72">
        <f>D102+E102</f>
        <v/>
      </c>
      <c r="G102" s="72">
        <f>C102-E102</f>
        <v/>
      </c>
    </row>
    <row r="103">
      <c r="A103" s="71" t="n">
        <v>61</v>
      </c>
      <c r="B103" s="71" t="n">
        <v>6</v>
      </c>
      <c r="C103" s="72">
        <f>G102</f>
        <v/>
      </c>
      <c r="D103" s="72">
        <f>C103*$B$7/12</f>
        <v/>
      </c>
      <c r="E103" s="72">
        <f>IF(61&lt;=$B$9,0,MAX(0,MIN(C103,$B$24-D103)))</f>
        <v/>
      </c>
      <c r="F103" s="72">
        <f>D103+E103</f>
        <v/>
      </c>
      <c r="G103" s="72">
        <f>C103-E103</f>
        <v/>
      </c>
    </row>
    <row r="104">
      <c r="A104" s="71" t="n">
        <v>62</v>
      </c>
      <c r="B104" s="71" t="n">
        <v>6</v>
      </c>
      <c r="C104" s="72">
        <f>G103</f>
        <v/>
      </c>
      <c r="D104" s="72">
        <f>C104*$B$7/12</f>
        <v/>
      </c>
      <c r="E104" s="72">
        <f>IF(62&lt;=$B$9,0,MAX(0,MIN(C104,$B$24-D104)))</f>
        <v/>
      </c>
      <c r="F104" s="72">
        <f>D104+E104</f>
        <v/>
      </c>
      <c r="G104" s="72">
        <f>C104-E104</f>
        <v/>
      </c>
    </row>
    <row r="105">
      <c r="A105" s="71" t="n">
        <v>63</v>
      </c>
      <c r="B105" s="71" t="n">
        <v>6</v>
      </c>
      <c r="C105" s="72">
        <f>G104</f>
        <v/>
      </c>
      <c r="D105" s="72">
        <f>C105*$B$7/12</f>
        <v/>
      </c>
      <c r="E105" s="72">
        <f>IF(63&lt;=$B$9,0,MAX(0,MIN(C105,$B$24-D105)))</f>
        <v/>
      </c>
      <c r="F105" s="72">
        <f>D105+E105</f>
        <v/>
      </c>
      <c r="G105" s="72">
        <f>C105-E105</f>
        <v/>
      </c>
    </row>
    <row r="106">
      <c r="A106" s="71" t="n">
        <v>64</v>
      </c>
      <c r="B106" s="71" t="n">
        <v>6</v>
      </c>
      <c r="C106" s="72">
        <f>G105</f>
        <v/>
      </c>
      <c r="D106" s="72">
        <f>C106*$B$7/12</f>
        <v/>
      </c>
      <c r="E106" s="72">
        <f>IF(64&lt;=$B$9,0,MAX(0,MIN(C106,$B$24-D106)))</f>
        <v/>
      </c>
      <c r="F106" s="72">
        <f>D106+E106</f>
        <v/>
      </c>
      <c r="G106" s="72">
        <f>C106-E106</f>
        <v/>
      </c>
    </row>
    <row r="107">
      <c r="A107" s="71" t="n">
        <v>65</v>
      </c>
      <c r="B107" s="71" t="n">
        <v>6</v>
      </c>
      <c r="C107" s="72">
        <f>G106</f>
        <v/>
      </c>
      <c r="D107" s="72">
        <f>C107*$B$7/12</f>
        <v/>
      </c>
      <c r="E107" s="72">
        <f>IF(65&lt;=$B$9,0,MAX(0,MIN(C107,$B$24-D107)))</f>
        <v/>
      </c>
      <c r="F107" s="72">
        <f>D107+E107</f>
        <v/>
      </c>
      <c r="G107" s="72">
        <f>C107-E107</f>
        <v/>
      </c>
    </row>
    <row r="108">
      <c r="A108" s="71" t="n">
        <v>66</v>
      </c>
      <c r="B108" s="71" t="n">
        <v>6</v>
      </c>
      <c r="C108" s="72">
        <f>G107</f>
        <v/>
      </c>
      <c r="D108" s="72">
        <f>C108*$B$7/12</f>
        <v/>
      </c>
      <c r="E108" s="72">
        <f>IF(66&lt;=$B$9,0,MAX(0,MIN(C108,$B$24-D108)))</f>
        <v/>
      </c>
      <c r="F108" s="72">
        <f>D108+E108</f>
        <v/>
      </c>
      <c r="G108" s="72">
        <f>C108-E108</f>
        <v/>
      </c>
    </row>
    <row r="109">
      <c r="A109" s="71" t="n">
        <v>67</v>
      </c>
      <c r="B109" s="71" t="n">
        <v>6</v>
      </c>
      <c r="C109" s="72">
        <f>G108</f>
        <v/>
      </c>
      <c r="D109" s="72">
        <f>C109*$B$7/12</f>
        <v/>
      </c>
      <c r="E109" s="72">
        <f>IF(67&lt;=$B$9,0,MAX(0,MIN(C109,$B$24-D109)))</f>
        <v/>
      </c>
      <c r="F109" s="72">
        <f>D109+E109</f>
        <v/>
      </c>
      <c r="G109" s="72">
        <f>C109-E109</f>
        <v/>
      </c>
    </row>
    <row r="110">
      <c r="A110" s="71" t="n">
        <v>68</v>
      </c>
      <c r="B110" s="71" t="n">
        <v>6</v>
      </c>
      <c r="C110" s="72">
        <f>G109</f>
        <v/>
      </c>
      <c r="D110" s="72">
        <f>C110*$B$7/12</f>
        <v/>
      </c>
      <c r="E110" s="72">
        <f>IF(68&lt;=$B$9,0,MAX(0,MIN(C110,$B$24-D110)))</f>
        <v/>
      </c>
      <c r="F110" s="72">
        <f>D110+E110</f>
        <v/>
      </c>
      <c r="G110" s="72">
        <f>C110-E110</f>
        <v/>
      </c>
    </row>
    <row r="111">
      <c r="A111" s="71" t="n">
        <v>69</v>
      </c>
      <c r="B111" s="71" t="n">
        <v>6</v>
      </c>
      <c r="C111" s="72">
        <f>G110</f>
        <v/>
      </c>
      <c r="D111" s="72">
        <f>C111*$B$7/12</f>
        <v/>
      </c>
      <c r="E111" s="72">
        <f>IF(69&lt;=$B$9,0,MAX(0,MIN(C111,$B$24-D111)))</f>
        <v/>
      </c>
      <c r="F111" s="72">
        <f>D111+E111</f>
        <v/>
      </c>
      <c r="G111" s="72">
        <f>C111-E111</f>
        <v/>
      </c>
    </row>
    <row r="112">
      <c r="A112" s="71" t="n">
        <v>70</v>
      </c>
      <c r="B112" s="71" t="n">
        <v>6</v>
      </c>
      <c r="C112" s="72">
        <f>G111</f>
        <v/>
      </c>
      <c r="D112" s="72">
        <f>C112*$B$7/12</f>
        <v/>
      </c>
      <c r="E112" s="72">
        <f>IF(70&lt;=$B$9,0,MAX(0,MIN(C112,$B$24-D112)))</f>
        <v/>
      </c>
      <c r="F112" s="72">
        <f>D112+E112</f>
        <v/>
      </c>
      <c r="G112" s="72">
        <f>C112-E112</f>
        <v/>
      </c>
    </row>
    <row r="113">
      <c r="A113" s="71" t="n">
        <v>71</v>
      </c>
      <c r="B113" s="71" t="n">
        <v>6</v>
      </c>
      <c r="C113" s="72">
        <f>G112</f>
        <v/>
      </c>
      <c r="D113" s="72">
        <f>C113*$B$7/12</f>
        <v/>
      </c>
      <c r="E113" s="72">
        <f>IF(71&lt;=$B$9,0,MAX(0,MIN(C113,$B$24-D113)))</f>
        <v/>
      </c>
      <c r="F113" s="72">
        <f>D113+E113</f>
        <v/>
      </c>
      <c r="G113" s="72">
        <f>C113-E113</f>
        <v/>
      </c>
    </row>
    <row r="114">
      <c r="A114" s="71" t="n">
        <v>72</v>
      </c>
      <c r="B114" s="71" t="n">
        <v>6</v>
      </c>
      <c r="C114" s="72">
        <f>G113</f>
        <v/>
      </c>
      <c r="D114" s="72">
        <f>C114*$B$7/12</f>
        <v/>
      </c>
      <c r="E114" s="72">
        <f>IF(72&lt;=$B$9,0,MAX(0,MIN(C114,$B$24-D114)))</f>
        <v/>
      </c>
      <c r="F114" s="72">
        <f>D114+E114</f>
        <v/>
      </c>
      <c r="G114" s="72">
        <f>C114-E114</f>
        <v/>
      </c>
    </row>
    <row r="115">
      <c r="A115" s="71" t="n">
        <v>73</v>
      </c>
      <c r="B115" s="71" t="n">
        <v>7</v>
      </c>
      <c r="C115" s="72">
        <f>G114</f>
        <v/>
      </c>
      <c r="D115" s="72">
        <f>C115*$B$7/12</f>
        <v/>
      </c>
      <c r="E115" s="72">
        <f>IF(73&lt;=$B$9,0,MAX(0,MIN(C115,$B$24-D115)))</f>
        <v/>
      </c>
      <c r="F115" s="72">
        <f>D115+E115</f>
        <v/>
      </c>
      <c r="G115" s="72">
        <f>C115-E115</f>
        <v/>
      </c>
    </row>
    <row r="116">
      <c r="A116" s="71" t="n">
        <v>74</v>
      </c>
      <c r="B116" s="71" t="n">
        <v>7</v>
      </c>
      <c r="C116" s="72">
        <f>G115</f>
        <v/>
      </c>
      <c r="D116" s="72">
        <f>C116*$B$7/12</f>
        <v/>
      </c>
      <c r="E116" s="72">
        <f>IF(74&lt;=$B$9,0,MAX(0,MIN(C116,$B$24-D116)))</f>
        <v/>
      </c>
      <c r="F116" s="72">
        <f>D116+E116</f>
        <v/>
      </c>
      <c r="G116" s="72">
        <f>C116-E116</f>
        <v/>
      </c>
    </row>
    <row r="117">
      <c r="A117" s="71" t="n">
        <v>75</v>
      </c>
      <c r="B117" s="71" t="n">
        <v>7</v>
      </c>
      <c r="C117" s="72">
        <f>G116</f>
        <v/>
      </c>
      <c r="D117" s="72">
        <f>C117*$B$7/12</f>
        <v/>
      </c>
      <c r="E117" s="72">
        <f>IF(75&lt;=$B$9,0,MAX(0,MIN(C117,$B$24-D117)))</f>
        <v/>
      </c>
      <c r="F117" s="72">
        <f>D117+E117</f>
        <v/>
      </c>
      <c r="G117" s="72">
        <f>C117-E117</f>
        <v/>
      </c>
    </row>
    <row r="118">
      <c r="A118" s="71" t="n">
        <v>76</v>
      </c>
      <c r="B118" s="71" t="n">
        <v>7</v>
      </c>
      <c r="C118" s="72">
        <f>G117</f>
        <v/>
      </c>
      <c r="D118" s="72">
        <f>C118*$B$7/12</f>
        <v/>
      </c>
      <c r="E118" s="72">
        <f>IF(76&lt;=$B$9,0,MAX(0,MIN(C118,$B$24-D118)))</f>
        <v/>
      </c>
      <c r="F118" s="72">
        <f>D118+E118</f>
        <v/>
      </c>
      <c r="G118" s="72">
        <f>C118-E118</f>
        <v/>
      </c>
    </row>
    <row r="119">
      <c r="A119" s="71" t="n">
        <v>77</v>
      </c>
      <c r="B119" s="71" t="n">
        <v>7</v>
      </c>
      <c r="C119" s="72">
        <f>G118</f>
        <v/>
      </c>
      <c r="D119" s="72">
        <f>C119*$B$7/12</f>
        <v/>
      </c>
      <c r="E119" s="72">
        <f>IF(77&lt;=$B$9,0,MAX(0,MIN(C119,$B$24-D119)))</f>
        <v/>
      </c>
      <c r="F119" s="72">
        <f>D119+E119</f>
        <v/>
      </c>
      <c r="G119" s="72">
        <f>C119-E119</f>
        <v/>
      </c>
    </row>
    <row r="120">
      <c r="A120" s="71" t="n">
        <v>78</v>
      </c>
      <c r="B120" s="71" t="n">
        <v>7</v>
      </c>
      <c r="C120" s="72">
        <f>G119</f>
        <v/>
      </c>
      <c r="D120" s="72">
        <f>C120*$B$7/12</f>
        <v/>
      </c>
      <c r="E120" s="72">
        <f>IF(78&lt;=$B$9,0,MAX(0,MIN(C120,$B$24-D120)))</f>
        <v/>
      </c>
      <c r="F120" s="72">
        <f>D120+E120</f>
        <v/>
      </c>
      <c r="G120" s="72">
        <f>C120-E120</f>
        <v/>
      </c>
    </row>
    <row r="121">
      <c r="A121" s="71" t="n">
        <v>79</v>
      </c>
      <c r="B121" s="71" t="n">
        <v>7</v>
      </c>
      <c r="C121" s="72">
        <f>G120</f>
        <v/>
      </c>
      <c r="D121" s="72">
        <f>C121*$B$7/12</f>
        <v/>
      </c>
      <c r="E121" s="72">
        <f>IF(79&lt;=$B$9,0,MAX(0,MIN(C121,$B$24-D121)))</f>
        <v/>
      </c>
      <c r="F121" s="72">
        <f>D121+E121</f>
        <v/>
      </c>
      <c r="G121" s="72">
        <f>C121-E121</f>
        <v/>
      </c>
    </row>
    <row r="122">
      <c r="A122" s="71" t="n">
        <v>80</v>
      </c>
      <c r="B122" s="71" t="n">
        <v>7</v>
      </c>
      <c r="C122" s="72">
        <f>G121</f>
        <v/>
      </c>
      <c r="D122" s="72">
        <f>C122*$B$7/12</f>
        <v/>
      </c>
      <c r="E122" s="72">
        <f>IF(80&lt;=$B$9,0,MAX(0,MIN(C122,$B$24-D122)))</f>
        <v/>
      </c>
      <c r="F122" s="72">
        <f>D122+E122</f>
        <v/>
      </c>
      <c r="G122" s="72">
        <f>C122-E122</f>
        <v/>
      </c>
    </row>
    <row r="123">
      <c r="A123" s="71" t="n">
        <v>81</v>
      </c>
      <c r="B123" s="71" t="n">
        <v>7</v>
      </c>
      <c r="C123" s="72">
        <f>G122</f>
        <v/>
      </c>
      <c r="D123" s="72">
        <f>C123*$B$7/12</f>
        <v/>
      </c>
      <c r="E123" s="72">
        <f>IF(81&lt;=$B$9,0,MAX(0,MIN(C123,$B$24-D123)))</f>
        <v/>
      </c>
      <c r="F123" s="72">
        <f>D123+E123</f>
        <v/>
      </c>
      <c r="G123" s="72">
        <f>C123-E123</f>
        <v/>
      </c>
    </row>
    <row r="124">
      <c r="A124" s="71" t="n">
        <v>82</v>
      </c>
      <c r="B124" s="71" t="n">
        <v>7</v>
      </c>
      <c r="C124" s="72">
        <f>G123</f>
        <v/>
      </c>
      <c r="D124" s="72">
        <f>C124*$B$7/12</f>
        <v/>
      </c>
      <c r="E124" s="72">
        <f>IF(82&lt;=$B$9,0,MAX(0,MIN(C124,$B$24-D124)))</f>
        <v/>
      </c>
      <c r="F124" s="72">
        <f>D124+E124</f>
        <v/>
      </c>
      <c r="G124" s="72">
        <f>C124-E124</f>
        <v/>
      </c>
    </row>
    <row r="125">
      <c r="A125" s="71" t="n">
        <v>83</v>
      </c>
      <c r="B125" s="71" t="n">
        <v>7</v>
      </c>
      <c r="C125" s="72">
        <f>G124</f>
        <v/>
      </c>
      <c r="D125" s="72">
        <f>C125*$B$7/12</f>
        <v/>
      </c>
      <c r="E125" s="72">
        <f>IF(83&lt;=$B$9,0,MAX(0,MIN(C125,$B$24-D125)))</f>
        <v/>
      </c>
      <c r="F125" s="72">
        <f>D125+E125</f>
        <v/>
      </c>
      <c r="G125" s="72">
        <f>C125-E125</f>
        <v/>
      </c>
    </row>
    <row r="126">
      <c r="A126" s="71" t="n">
        <v>84</v>
      </c>
      <c r="B126" s="71" t="n">
        <v>7</v>
      </c>
      <c r="C126" s="72">
        <f>G125</f>
        <v/>
      </c>
      <c r="D126" s="72">
        <f>C126*$B$7/12</f>
        <v/>
      </c>
      <c r="E126" s="72">
        <f>IF(84&lt;=$B$9,0,MAX(0,MIN(C126,$B$24-D126)))</f>
        <v/>
      </c>
      <c r="F126" s="72">
        <f>D126+E126</f>
        <v/>
      </c>
      <c r="G126" s="72">
        <f>C126-E126</f>
        <v/>
      </c>
    </row>
    <row r="127">
      <c r="A127" s="71" t="n">
        <v>85</v>
      </c>
      <c r="B127" s="71" t="n">
        <v>8</v>
      </c>
      <c r="C127" s="72">
        <f>G126</f>
        <v/>
      </c>
      <c r="D127" s="72">
        <f>C127*$B$7/12</f>
        <v/>
      </c>
      <c r="E127" s="72">
        <f>IF(85&lt;=$B$9,0,MAX(0,MIN(C127,$B$24-D127)))</f>
        <v/>
      </c>
      <c r="F127" s="72">
        <f>D127+E127</f>
        <v/>
      </c>
      <c r="G127" s="72">
        <f>C127-E127</f>
        <v/>
      </c>
    </row>
    <row r="128">
      <c r="A128" s="71" t="n">
        <v>86</v>
      </c>
      <c r="B128" s="71" t="n">
        <v>8</v>
      </c>
      <c r="C128" s="72">
        <f>G127</f>
        <v/>
      </c>
      <c r="D128" s="72">
        <f>C128*$B$7/12</f>
        <v/>
      </c>
      <c r="E128" s="72">
        <f>IF(86&lt;=$B$9,0,MAX(0,MIN(C128,$B$24-D128)))</f>
        <v/>
      </c>
      <c r="F128" s="72">
        <f>D128+E128</f>
        <v/>
      </c>
      <c r="G128" s="72">
        <f>C128-E128</f>
        <v/>
      </c>
    </row>
    <row r="129">
      <c r="A129" s="71" t="n">
        <v>87</v>
      </c>
      <c r="B129" s="71" t="n">
        <v>8</v>
      </c>
      <c r="C129" s="72">
        <f>G128</f>
        <v/>
      </c>
      <c r="D129" s="72">
        <f>C129*$B$7/12</f>
        <v/>
      </c>
      <c r="E129" s="72">
        <f>IF(87&lt;=$B$9,0,MAX(0,MIN(C129,$B$24-D129)))</f>
        <v/>
      </c>
      <c r="F129" s="72">
        <f>D129+E129</f>
        <v/>
      </c>
      <c r="G129" s="72">
        <f>C129-E129</f>
        <v/>
      </c>
    </row>
    <row r="130">
      <c r="A130" s="71" t="n">
        <v>88</v>
      </c>
      <c r="B130" s="71" t="n">
        <v>8</v>
      </c>
      <c r="C130" s="72">
        <f>G129</f>
        <v/>
      </c>
      <c r="D130" s="72">
        <f>C130*$B$7/12</f>
        <v/>
      </c>
      <c r="E130" s="72">
        <f>IF(88&lt;=$B$9,0,MAX(0,MIN(C130,$B$24-D130)))</f>
        <v/>
      </c>
      <c r="F130" s="72">
        <f>D130+E130</f>
        <v/>
      </c>
      <c r="G130" s="72">
        <f>C130-E130</f>
        <v/>
      </c>
    </row>
    <row r="131">
      <c r="A131" s="71" t="n">
        <v>89</v>
      </c>
      <c r="B131" s="71" t="n">
        <v>8</v>
      </c>
      <c r="C131" s="72">
        <f>G130</f>
        <v/>
      </c>
      <c r="D131" s="72">
        <f>C131*$B$7/12</f>
        <v/>
      </c>
      <c r="E131" s="72">
        <f>IF(89&lt;=$B$9,0,MAX(0,MIN(C131,$B$24-D131)))</f>
        <v/>
      </c>
      <c r="F131" s="72">
        <f>D131+E131</f>
        <v/>
      </c>
      <c r="G131" s="72">
        <f>C131-E131</f>
        <v/>
      </c>
    </row>
    <row r="132">
      <c r="A132" s="71" t="n">
        <v>90</v>
      </c>
      <c r="B132" s="71" t="n">
        <v>8</v>
      </c>
      <c r="C132" s="72">
        <f>G131</f>
        <v/>
      </c>
      <c r="D132" s="72">
        <f>C132*$B$7/12</f>
        <v/>
      </c>
      <c r="E132" s="72">
        <f>IF(90&lt;=$B$9,0,MAX(0,MIN(C132,$B$24-D132)))</f>
        <v/>
      </c>
      <c r="F132" s="72">
        <f>D132+E132</f>
        <v/>
      </c>
      <c r="G132" s="72">
        <f>C132-E132</f>
        <v/>
      </c>
    </row>
    <row r="133">
      <c r="A133" s="71" t="n">
        <v>91</v>
      </c>
      <c r="B133" s="71" t="n">
        <v>8</v>
      </c>
      <c r="C133" s="72">
        <f>G132</f>
        <v/>
      </c>
      <c r="D133" s="72">
        <f>C133*$B$7/12</f>
        <v/>
      </c>
      <c r="E133" s="72">
        <f>IF(91&lt;=$B$9,0,MAX(0,MIN(C133,$B$24-D133)))</f>
        <v/>
      </c>
      <c r="F133" s="72">
        <f>D133+E133</f>
        <v/>
      </c>
      <c r="G133" s="72">
        <f>C133-E133</f>
        <v/>
      </c>
    </row>
    <row r="134">
      <c r="A134" s="71" t="n">
        <v>92</v>
      </c>
      <c r="B134" s="71" t="n">
        <v>8</v>
      </c>
      <c r="C134" s="72">
        <f>G133</f>
        <v/>
      </c>
      <c r="D134" s="72">
        <f>C134*$B$7/12</f>
        <v/>
      </c>
      <c r="E134" s="72">
        <f>IF(92&lt;=$B$9,0,MAX(0,MIN(C134,$B$24-D134)))</f>
        <v/>
      </c>
      <c r="F134" s="72">
        <f>D134+E134</f>
        <v/>
      </c>
      <c r="G134" s="72">
        <f>C134-E134</f>
        <v/>
      </c>
    </row>
    <row r="135">
      <c r="A135" s="71" t="n">
        <v>93</v>
      </c>
      <c r="B135" s="71" t="n">
        <v>8</v>
      </c>
      <c r="C135" s="72">
        <f>G134</f>
        <v/>
      </c>
      <c r="D135" s="72">
        <f>C135*$B$7/12</f>
        <v/>
      </c>
      <c r="E135" s="72">
        <f>IF(93&lt;=$B$9,0,MAX(0,MIN(C135,$B$24-D135)))</f>
        <v/>
      </c>
      <c r="F135" s="72">
        <f>D135+E135</f>
        <v/>
      </c>
      <c r="G135" s="72">
        <f>C135-E135</f>
        <v/>
      </c>
    </row>
    <row r="136">
      <c r="A136" s="71" t="n">
        <v>94</v>
      </c>
      <c r="B136" s="71" t="n">
        <v>8</v>
      </c>
      <c r="C136" s="72">
        <f>G135</f>
        <v/>
      </c>
      <c r="D136" s="72">
        <f>C136*$B$7/12</f>
        <v/>
      </c>
      <c r="E136" s="72">
        <f>IF(94&lt;=$B$9,0,MAX(0,MIN(C136,$B$24-D136)))</f>
        <v/>
      </c>
      <c r="F136" s="72">
        <f>D136+E136</f>
        <v/>
      </c>
      <c r="G136" s="72">
        <f>C136-E136</f>
        <v/>
      </c>
    </row>
    <row r="137">
      <c r="A137" s="71" t="n">
        <v>95</v>
      </c>
      <c r="B137" s="71" t="n">
        <v>8</v>
      </c>
      <c r="C137" s="72">
        <f>G136</f>
        <v/>
      </c>
      <c r="D137" s="72">
        <f>C137*$B$7/12</f>
        <v/>
      </c>
      <c r="E137" s="72">
        <f>IF(95&lt;=$B$9,0,MAX(0,MIN(C137,$B$24-D137)))</f>
        <v/>
      </c>
      <c r="F137" s="72">
        <f>D137+E137</f>
        <v/>
      </c>
      <c r="G137" s="72">
        <f>C137-E137</f>
        <v/>
      </c>
    </row>
    <row r="138">
      <c r="A138" s="71" t="n">
        <v>96</v>
      </c>
      <c r="B138" s="71" t="n">
        <v>8</v>
      </c>
      <c r="C138" s="72">
        <f>G137</f>
        <v/>
      </c>
      <c r="D138" s="72">
        <f>C138*$B$7/12</f>
        <v/>
      </c>
      <c r="E138" s="72">
        <f>IF(96&lt;=$B$9,0,MAX(0,MIN(C138,$B$24-D138)))</f>
        <v/>
      </c>
      <c r="F138" s="72">
        <f>D138+E138</f>
        <v/>
      </c>
      <c r="G138" s="72">
        <f>C138-E138</f>
        <v/>
      </c>
    </row>
    <row r="139">
      <c r="A139" s="71" t="n">
        <v>97</v>
      </c>
      <c r="B139" s="71" t="n">
        <v>9</v>
      </c>
      <c r="C139" s="72">
        <f>G138</f>
        <v/>
      </c>
      <c r="D139" s="72">
        <f>C139*$B$7/12</f>
        <v/>
      </c>
      <c r="E139" s="72">
        <f>IF(97&lt;=$B$9,0,MAX(0,MIN(C139,$B$24-D139)))</f>
        <v/>
      </c>
      <c r="F139" s="72">
        <f>D139+E139</f>
        <v/>
      </c>
      <c r="G139" s="72">
        <f>C139-E139</f>
        <v/>
      </c>
    </row>
    <row r="140">
      <c r="A140" s="71" t="n">
        <v>98</v>
      </c>
      <c r="B140" s="71" t="n">
        <v>9</v>
      </c>
      <c r="C140" s="72">
        <f>G139</f>
        <v/>
      </c>
      <c r="D140" s="72">
        <f>C140*$B$7/12</f>
        <v/>
      </c>
      <c r="E140" s="72">
        <f>IF(98&lt;=$B$9,0,MAX(0,MIN(C140,$B$24-D140)))</f>
        <v/>
      </c>
      <c r="F140" s="72">
        <f>D140+E140</f>
        <v/>
      </c>
      <c r="G140" s="72">
        <f>C140-E140</f>
        <v/>
      </c>
    </row>
    <row r="141">
      <c r="A141" s="71" t="n">
        <v>99</v>
      </c>
      <c r="B141" s="71" t="n">
        <v>9</v>
      </c>
      <c r="C141" s="72">
        <f>G140</f>
        <v/>
      </c>
      <c r="D141" s="72">
        <f>C141*$B$7/12</f>
        <v/>
      </c>
      <c r="E141" s="72">
        <f>IF(99&lt;=$B$9,0,MAX(0,MIN(C141,$B$24-D141)))</f>
        <v/>
      </c>
      <c r="F141" s="72">
        <f>D141+E141</f>
        <v/>
      </c>
      <c r="G141" s="72">
        <f>C141-E141</f>
        <v/>
      </c>
    </row>
    <row r="142">
      <c r="A142" s="71" t="n">
        <v>100</v>
      </c>
      <c r="B142" s="71" t="n">
        <v>9</v>
      </c>
      <c r="C142" s="72">
        <f>G141</f>
        <v/>
      </c>
      <c r="D142" s="72">
        <f>C142*$B$7/12</f>
        <v/>
      </c>
      <c r="E142" s="72">
        <f>IF(100&lt;=$B$9,0,MAX(0,MIN(C142,$B$24-D142)))</f>
        <v/>
      </c>
      <c r="F142" s="72">
        <f>D142+E142</f>
        <v/>
      </c>
      <c r="G142" s="72">
        <f>C142-E142</f>
        <v/>
      </c>
    </row>
    <row r="143">
      <c r="A143" s="71" t="n">
        <v>101</v>
      </c>
      <c r="B143" s="71" t="n">
        <v>9</v>
      </c>
      <c r="C143" s="72">
        <f>G142</f>
        <v/>
      </c>
      <c r="D143" s="72">
        <f>C143*$B$7/12</f>
        <v/>
      </c>
      <c r="E143" s="72">
        <f>IF(101&lt;=$B$9,0,MAX(0,MIN(C143,$B$24-D143)))</f>
        <v/>
      </c>
      <c r="F143" s="72">
        <f>D143+E143</f>
        <v/>
      </c>
      <c r="G143" s="72">
        <f>C143-E143</f>
        <v/>
      </c>
    </row>
    <row r="144">
      <c r="A144" s="71" t="n">
        <v>102</v>
      </c>
      <c r="B144" s="71" t="n">
        <v>9</v>
      </c>
      <c r="C144" s="72">
        <f>G143</f>
        <v/>
      </c>
      <c r="D144" s="72">
        <f>C144*$B$7/12</f>
        <v/>
      </c>
      <c r="E144" s="72">
        <f>IF(102&lt;=$B$9,0,MAX(0,MIN(C144,$B$24-D144)))</f>
        <v/>
      </c>
      <c r="F144" s="72">
        <f>D144+E144</f>
        <v/>
      </c>
      <c r="G144" s="72">
        <f>C144-E144</f>
        <v/>
      </c>
    </row>
    <row r="145">
      <c r="A145" s="71" t="n">
        <v>103</v>
      </c>
      <c r="B145" s="71" t="n">
        <v>9</v>
      </c>
      <c r="C145" s="72">
        <f>G144</f>
        <v/>
      </c>
      <c r="D145" s="72">
        <f>C145*$B$7/12</f>
        <v/>
      </c>
      <c r="E145" s="72">
        <f>IF(103&lt;=$B$9,0,MAX(0,MIN(C145,$B$24-D145)))</f>
        <v/>
      </c>
      <c r="F145" s="72">
        <f>D145+E145</f>
        <v/>
      </c>
      <c r="G145" s="72">
        <f>C145-E145</f>
        <v/>
      </c>
    </row>
    <row r="146">
      <c r="A146" s="71" t="n">
        <v>104</v>
      </c>
      <c r="B146" s="71" t="n">
        <v>9</v>
      </c>
      <c r="C146" s="72">
        <f>G145</f>
        <v/>
      </c>
      <c r="D146" s="72">
        <f>C146*$B$7/12</f>
        <v/>
      </c>
      <c r="E146" s="72">
        <f>IF(104&lt;=$B$9,0,MAX(0,MIN(C146,$B$24-D146)))</f>
        <v/>
      </c>
      <c r="F146" s="72">
        <f>D146+E146</f>
        <v/>
      </c>
      <c r="G146" s="72">
        <f>C146-E146</f>
        <v/>
      </c>
    </row>
    <row r="147">
      <c r="A147" s="71" t="n">
        <v>105</v>
      </c>
      <c r="B147" s="71" t="n">
        <v>9</v>
      </c>
      <c r="C147" s="72">
        <f>G146</f>
        <v/>
      </c>
      <c r="D147" s="72">
        <f>C147*$B$7/12</f>
        <v/>
      </c>
      <c r="E147" s="72">
        <f>IF(105&lt;=$B$9,0,MAX(0,MIN(C147,$B$24-D147)))</f>
        <v/>
      </c>
      <c r="F147" s="72">
        <f>D147+E147</f>
        <v/>
      </c>
      <c r="G147" s="72">
        <f>C147-E147</f>
        <v/>
      </c>
    </row>
    <row r="148">
      <c r="A148" s="71" t="n">
        <v>106</v>
      </c>
      <c r="B148" s="71" t="n">
        <v>9</v>
      </c>
      <c r="C148" s="72">
        <f>G147</f>
        <v/>
      </c>
      <c r="D148" s="72">
        <f>C148*$B$7/12</f>
        <v/>
      </c>
      <c r="E148" s="72">
        <f>IF(106&lt;=$B$9,0,MAX(0,MIN(C148,$B$24-D148)))</f>
        <v/>
      </c>
      <c r="F148" s="72">
        <f>D148+E148</f>
        <v/>
      </c>
      <c r="G148" s="72">
        <f>C148-E148</f>
        <v/>
      </c>
    </row>
    <row r="149">
      <c r="A149" s="71" t="n">
        <v>107</v>
      </c>
      <c r="B149" s="71" t="n">
        <v>9</v>
      </c>
      <c r="C149" s="72">
        <f>G148</f>
        <v/>
      </c>
      <c r="D149" s="72">
        <f>C149*$B$7/12</f>
        <v/>
      </c>
      <c r="E149" s="72">
        <f>IF(107&lt;=$B$9,0,MAX(0,MIN(C149,$B$24-D149)))</f>
        <v/>
      </c>
      <c r="F149" s="72">
        <f>D149+E149</f>
        <v/>
      </c>
      <c r="G149" s="72">
        <f>C149-E149</f>
        <v/>
      </c>
    </row>
    <row r="150">
      <c r="A150" s="71" t="n">
        <v>108</v>
      </c>
      <c r="B150" s="71" t="n">
        <v>9</v>
      </c>
      <c r="C150" s="72">
        <f>G149</f>
        <v/>
      </c>
      <c r="D150" s="72">
        <f>C150*$B$7/12</f>
        <v/>
      </c>
      <c r="E150" s="72">
        <f>IF(108&lt;=$B$9,0,MAX(0,MIN(C150,$B$24-D150)))</f>
        <v/>
      </c>
      <c r="F150" s="72">
        <f>D150+E150</f>
        <v/>
      </c>
      <c r="G150" s="72">
        <f>C150-E150</f>
        <v/>
      </c>
    </row>
    <row r="151">
      <c r="A151" s="71" t="n">
        <v>109</v>
      </c>
      <c r="B151" s="71" t="n">
        <v>10</v>
      </c>
      <c r="C151" s="72">
        <f>G150</f>
        <v/>
      </c>
      <c r="D151" s="72">
        <f>C151*$B$7/12</f>
        <v/>
      </c>
      <c r="E151" s="72">
        <f>IF(109&lt;=$B$9,0,MAX(0,MIN(C151,$B$24-D151)))</f>
        <v/>
      </c>
      <c r="F151" s="72">
        <f>D151+E151</f>
        <v/>
      </c>
      <c r="G151" s="72">
        <f>C151-E151</f>
        <v/>
      </c>
    </row>
    <row r="152">
      <c r="A152" s="71" t="n">
        <v>110</v>
      </c>
      <c r="B152" s="71" t="n">
        <v>10</v>
      </c>
      <c r="C152" s="72">
        <f>G151</f>
        <v/>
      </c>
      <c r="D152" s="72">
        <f>C152*$B$7/12</f>
        <v/>
      </c>
      <c r="E152" s="72">
        <f>IF(110&lt;=$B$9,0,MAX(0,MIN(C152,$B$24-D152)))</f>
        <v/>
      </c>
      <c r="F152" s="72">
        <f>D152+E152</f>
        <v/>
      </c>
      <c r="G152" s="72">
        <f>C152-E152</f>
        <v/>
      </c>
    </row>
    <row r="153">
      <c r="A153" s="71" t="n">
        <v>111</v>
      </c>
      <c r="B153" s="71" t="n">
        <v>10</v>
      </c>
      <c r="C153" s="72">
        <f>G152</f>
        <v/>
      </c>
      <c r="D153" s="72">
        <f>C153*$B$7/12</f>
        <v/>
      </c>
      <c r="E153" s="72">
        <f>IF(111&lt;=$B$9,0,MAX(0,MIN(C153,$B$24-D153)))</f>
        <v/>
      </c>
      <c r="F153" s="72">
        <f>D153+E153</f>
        <v/>
      </c>
      <c r="G153" s="72">
        <f>C153-E153</f>
        <v/>
      </c>
    </row>
    <row r="154">
      <c r="A154" s="71" t="n">
        <v>112</v>
      </c>
      <c r="B154" s="71" t="n">
        <v>10</v>
      </c>
      <c r="C154" s="72">
        <f>G153</f>
        <v/>
      </c>
      <c r="D154" s="72">
        <f>C154*$B$7/12</f>
        <v/>
      </c>
      <c r="E154" s="72">
        <f>IF(112&lt;=$B$9,0,MAX(0,MIN(C154,$B$24-D154)))</f>
        <v/>
      </c>
      <c r="F154" s="72">
        <f>D154+E154</f>
        <v/>
      </c>
      <c r="G154" s="72">
        <f>C154-E154</f>
        <v/>
      </c>
    </row>
    <row r="155">
      <c r="A155" s="71" t="n">
        <v>113</v>
      </c>
      <c r="B155" s="71" t="n">
        <v>10</v>
      </c>
      <c r="C155" s="72">
        <f>G154</f>
        <v/>
      </c>
      <c r="D155" s="72">
        <f>C155*$B$7/12</f>
        <v/>
      </c>
      <c r="E155" s="72">
        <f>IF(113&lt;=$B$9,0,MAX(0,MIN(C155,$B$24-D155)))</f>
        <v/>
      </c>
      <c r="F155" s="72">
        <f>D155+E155</f>
        <v/>
      </c>
      <c r="G155" s="72">
        <f>C155-E155</f>
        <v/>
      </c>
    </row>
    <row r="156">
      <c r="A156" s="71" t="n">
        <v>114</v>
      </c>
      <c r="B156" s="71" t="n">
        <v>10</v>
      </c>
      <c r="C156" s="72">
        <f>G155</f>
        <v/>
      </c>
      <c r="D156" s="72">
        <f>C156*$B$7/12</f>
        <v/>
      </c>
      <c r="E156" s="72">
        <f>IF(114&lt;=$B$9,0,MAX(0,MIN(C156,$B$24-D156)))</f>
        <v/>
      </c>
      <c r="F156" s="72">
        <f>D156+E156</f>
        <v/>
      </c>
      <c r="G156" s="72">
        <f>C156-E156</f>
        <v/>
      </c>
    </row>
    <row r="157">
      <c r="A157" s="71" t="n">
        <v>115</v>
      </c>
      <c r="B157" s="71" t="n">
        <v>10</v>
      </c>
      <c r="C157" s="72">
        <f>G156</f>
        <v/>
      </c>
      <c r="D157" s="72">
        <f>C157*$B$7/12</f>
        <v/>
      </c>
      <c r="E157" s="72">
        <f>IF(115&lt;=$B$9,0,MAX(0,MIN(C157,$B$24-D157)))</f>
        <v/>
      </c>
      <c r="F157" s="72">
        <f>D157+E157</f>
        <v/>
      </c>
      <c r="G157" s="72">
        <f>C157-E157</f>
        <v/>
      </c>
    </row>
    <row r="158">
      <c r="A158" s="71" t="n">
        <v>116</v>
      </c>
      <c r="B158" s="71" t="n">
        <v>10</v>
      </c>
      <c r="C158" s="72">
        <f>G157</f>
        <v/>
      </c>
      <c r="D158" s="72">
        <f>C158*$B$7/12</f>
        <v/>
      </c>
      <c r="E158" s="72">
        <f>IF(116&lt;=$B$9,0,MAX(0,MIN(C158,$B$24-D158)))</f>
        <v/>
      </c>
      <c r="F158" s="72">
        <f>D158+E158</f>
        <v/>
      </c>
      <c r="G158" s="72">
        <f>C158-E158</f>
        <v/>
      </c>
    </row>
    <row r="159">
      <c r="A159" s="71" t="n">
        <v>117</v>
      </c>
      <c r="B159" s="71" t="n">
        <v>10</v>
      </c>
      <c r="C159" s="72">
        <f>G158</f>
        <v/>
      </c>
      <c r="D159" s="72">
        <f>C159*$B$7/12</f>
        <v/>
      </c>
      <c r="E159" s="72">
        <f>IF(117&lt;=$B$9,0,MAX(0,MIN(C159,$B$24-D159)))</f>
        <v/>
      </c>
      <c r="F159" s="72">
        <f>D159+E159</f>
        <v/>
      </c>
      <c r="G159" s="72">
        <f>C159-E159</f>
        <v/>
      </c>
    </row>
    <row r="160">
      <c r="A160" s="71" t="n">
        <v>118</v>
      </c>
      <c r="B160" s="71" t="n">
        <v>10</v>
      </c>
      <c r="C160" s="72">
        <f>G159</f>
        <v/>
      </c>
      <c r="D160" s="72">
        <f>C160*$B$7/12</f>
        <v/>
      </c>
      <c r="E160" s="72">
        <f>IF(118&lt;=$B$9,0,MAX(0,MIN(C160,$B$24-D160)))</f>
        <v/>
      </c>
      <c r="F160" s="72">
        <f>D160+E160</f>
        <v/>
      </c>
      <c r="G160" s="72">
        <f>C160-E160</f>
        <v/>
      </c>
    </row>
    <row r="161">
      <c r="A161" s="71" t="n">
        <v>119</v>
      </c>
      <c r="B161" s="71" t="n">
        <v>10</v>
      </c>
      <c r="C161" s="72">
        <f>G160</f>
        <v/>
      </c>
      <c r="D161" s="72">
        <f>C161*$B$7/12</f>
        <v/>
      </c>
      <c r="E161" s="72">
        <f>IF(119&lt;=$B$9,0,MAX(0,MIN(C161,$B$24-D161)))</f>
        <v/>
      </c>
      <c r="F161" s="72">
        <f>D161+E161</f>
        <v/>
      </c>
      <c r="G161" s="72">
        <f>C161-E161</f>
        <v/>
      </c>
    </row>
    <row r="162">
      <c r="A162" s="71" t="n">
        <v>120</v>
      </c>
      <c r="B162" s="71" t="n">
        <v>10</v>
      </c>
      <c r="C162" s="72">
        <f>G161</f>
        <v/>
      </c>
      <c r="D162" s="72">
        <f>C162*$B$7/12</f>
        <v/>
      </c>
      <c r="E162" s="72">
        <f>IF(120&lt;=$B$9,0,MAX(0,MIN(C162,$B$24-D162)))</f>
        <v/>
      </c>
      <c r="F162" s="72">
        <f>D162+E162</f>
        <v/>
      </c>
      <c r="G162" s="72">
        <f>C162-E162</f>
        <v/>
      </c>
    </row>
  </sheetData>
  <pageMargins left="0.4" right="0.4" top="0.5" bottom="0.5" header="0.5" footer="0.5"/>
  <pageSetup orientation="landscape" fitToHeight="0" fitToWidth="1"/>
  <headerFooter>
    <oddHeader/>
    <oddFooter>&amp;L&amp;8 &amp;K808080Altyst multifamily underwriting model&amp;R&amp;8 &amp;K808080Page &amp;P of &amp;N</oddFooter>
    <evenHeader/>
    <evenFooter/>
    <firstHeader/>
    <firstFooter/>
  </headerFooter>
</worksheet>
</file>

<file path=xl/worksheets/sheet7.xml><?xml version="1.0" encoding="utf-8"?>
<worksheet xmlns="http://schemas.openxmlformats.org/spreadsheetml/2006/main">
  <sheetPr>
    <outlinePr summaryBelow="1" summaryRight="1"/>
    <pageSetUpPr fitToPage="1"/>
  </sheetPr>
  <dimension ref="A1:E26"/>
  <sheetViews>
    <sheetView showGridLines="0" workbookViewId="0">
      <pane ySplit="3" topLeftCell="A4" activePane="bottomLeft" state="frozen"/>
      <selection pane="bottomLeft" activeCell="A1" sqref="A1"/>
    </sheetView>
  </sheetViews>
  <sheetFormatPr baseColWidth="8" defaultRowHeight="15"/>
  <cols>
    <col width="46" customWidth="1" min="1" max="1"/>
    <col width="18" customWidth="1" min="2" max="2"/>
    <col width="12" customWidth="1" min="3" max="3"/>
    <col width="16" customWidth="1" min="4" max="4"/>
    <col width="46" customWidth="1" min="5" max="5"/>
  </cols>
  <sheetData>
    <row r="1">
      <c r="A1" s="1" t="inlineStr">
        <is>
          <t>Sources and Uses</t>
        </is>
      </c>
    </row>
    <row r="2">
      <c r="A2" s="2" t="inlineStr">
        <is>
          <t>Equity is the plug. Every line ties to Assumptions, the Debt tab or the Pro Forma.</t>
        </is>
      </c>
    </row>
    <row r="3">
      <c r="A3" s="7" t="n"/>
      <c r="B3" s="7" t="n"/>
      <c r="C3" s="7" t="n"/>
      <c r="D3" s="7" t="n"/>
      <c r="E3" s="7" t="n"/>
    </row>
    <row r="4">
      <c r="A4" s="29" t="inlineStr">
        <is>
          <t>Uses</t>
        </is>
      </c>
      <c r="B4" s="30" t="inlineStr">
        <is>
          <t>Amount</t>
        </is>
      </c>
      <c r="C4" s="30" t="inlineStr">
        <is>
          <t>% of total</t>
        </is>
      </c>
      <c r="D4" s="30" t="inlineStr">
        <is>
          <t>Per unit</t>
        </is>
      </c>
    </row>
    <row r="5">
      <c r="A5" s="10" t="inlineStr">
        <is>
          <t>Purchase price</t>
        </is>
      </c>
      <c r="B5" s="16">
        <f>'Assumptions'!B15</f>
        <v/>
      </c>
      <c r="C5" s="49">
        <f>IF($B$13=0,0,B5/$B$13)</f>
        <v/>
      </c>
      <c r="D5" s="16">
        <f>IF('Assumptions'!B10=0,0,B5/'Assumptions'!B10)</f>
        <v/>
      </c>
    </row>
    <row r="6">
      <c r="A6" s="10" t="inlineStr">
        <is>
          <t>Closing costs</t>
        </is>
      </c>
      <c r="B6" s="16">
        <f>'Assumptions'!B15*'Assumptions'!B18</f>
        <v/>
      </c>
      <c r="C6" s="49">
        <f>IF($B$13=0,0,B6/$B$13)</f>
        <v/>
      </c>
      <c r="D6" s="16">
        <f>IF('Assumptions'!B10=0,0,B6/'Assumptions'!B10)</f>
        <v/>
      </c>
    </row>
    <row r="7">
      <c r="A7" s="10" t="inlineStr">
        <is>
          <t>Due diligence, legal and third-party reports</t>
        </is>
      </c>
      <c r="B7" s="16">
        <f>'Assumptions'!B19</f>
        <v/>
      </c>
      <c r="C7" s="49">
        <f>IF($B$13=0,0,B7/$B$13)</f>
        <v/>
      </c>
      <c r="D7" s="16">
        <f>IF('Assumptions'!B10=0,0,B7/'Assumptions'!B10)</f>
        <v/>
      </c>
    </row>
    <row r="8">
      <c r="A8" s="10" t="inlineStr">
        <is>
          <t>Immediate repairs and deferred maintenance</t>
        </is>
      </c>
      <c r="B8" s="16">
        <f>'Assumptions'!B20</f>
        <v/>
      </c>
      <c r="C8" s="49">
        <f>IF($B$13=0,0,B8/$B$13)</f>
        <v/>
      </c>
      <c r="D8" s="16">
        <f>IF('Assumptions'!B10=0,0,B8/'Assumptions'!B10)</f>
        <v/>
      </c>
    </row>
    <row r="9">
      <c r="A9" s="10" t="inlineStr">
        <is>
          <t>Renovation funded at close</t>
        </is>
      </c>
      <c r="B9" s="16">
        <f>'Assumptions'!B59*'Assumptions'!B61</f>
        <v/>
      </c>
      <c r="C9" s="49">
        <f>IF($B$13=0,0,B9/$B$13)</f>
        <v/>
      </c>
      <c r="D9" s="16">
        <f>IF('Assumptions'!B10=0,0,B9/'Assumptions'!B10)</f>
        <v/>
      </c>
    </row>
    <row r="10">
      <c r="A10" s="10" t="inlineStr">
        <is>
          <t>Operating and working capital reserve</t>
        </is>
      </c>
      <c r="B10" s="16">
        <f>'Assumptions'!B21</f>
        <v/>
      </c>
      <c r="C10" s="49">
        <f>IF($B$13=0,0,B10/$B$13)</f>
        <v/>
      </c>
      <c r="D10" s="16">
        <f>IF('Assumptions'!B10=0,0,B10/'Assumptions'!B10)</f>
        <v/>
      </c>
    </row>
    <row r="11">
      <c r="A11" s="10" t="inlineStr">
        <is>
          <t>Loan origination fee</t>
        </is>
      </c>
      <c r="B11" s="16">
        <f>'Debt'!B23</f>
        <v/>
      </c>
      <c r="C11" s="49">
        <f>IF($B$13=0,0,B11/$B$13)</f>
        <v/>
      </c>
      <c r="D11" s="16">
        <f>IF('Assumptions'!B10=0,0,B11/'Assumptions'!B10)</f>
        <v/>
      </c>
    </row>
    <row r="12">
      <c r="A12" s="10" t="inlineStr">
        <is>
          <t>Acquisition fee</t>
        </is>
      </c>
      <c r="B12" s="16">
        <f>'Assumptions'!B15*'Assumptions'!B22</f>
        <v/>
      </c>
      <c r="C12" s="49">
        <f>IF($B$13=0,0,B12/$B$13)</f>
        <v/>
      </c>
      <c r="D12" s="16">
        <f>IF('Assumptions'!B10=0,0,B12/'Assumptions'!B10)</f>
        <v/>
      </c>
    </row>
    <row r="13">
      <c r="A13" s="39" t="inlineStr">
        <is>
          <t>TOTAL USES</t>
        </is>
      </c>
      <c r="B13" s="42">
        <f>SUM(B5:B12)</f>
        <v/>
      </c>
      <c r="C13" s="43">
        <f>1</f>
        <v/>
      </c>
      <c r="D13" s="42">
        <f>IF('Assumptions'!B10=0,0,B13/'Assumptions'!B10)</f>
        <v/>
      </c>
    </row>
    <row r="15">
      <c r="A15" s="29" t="inlineStr">
        <is>
          <t>Sources</t>
        </is>
      </c>
      <c r="B15" s="30" t="inlineStr">
        <is>
          <t>Amount</t>
        </is>
      </c>
      <c r="C15" s="30" t="inlineStr">
        <is>
          <t>% of total</t>
        </is>
      </c>
      <c r="D15" s="30" t="inlineStr">
        <is>
          <t>Per unit</t>
        </is>
      </c>
    </row>
    <row r="16">
      <c r="A16" s="10" t="inlineStr">
        <is>
          <t>Senior loan</t>
        </is>
      </c>
      <c r="B16" s="16">
        <f>'Debt'!B17</f>
        <v/>
      </c>
      <c r="C16" s="49">
        <f>IF($B$18=0,0,B16/$B$18)</f>
        <v/>
      </c>
      <c r="D16" s="16">
        <f>IF('Assumptions'!B10=0,0,B16/'Assumptions'!B10)</f>
        <v/>
      </c>
    </row>
    <row r="17">
      <c r="A17" s="10" t="inlineStr">
        <is>
          <t>Sponsor equity (plug)</t>
        </is>
      </c>
      <c r="B17" s="24">
        <f>B13-B16</f>
        <v/>
      </c>
      <c r="C17" s="49">
        <f>IF($B$18=0,0,B17/$B$18)</f>
        <v/>
      </c>
      <c r="D17" s="16">
        <f>IF('Assumptions'!B10=0,0,B17/'Assumptions'!B10)</f>
        <v/>
      </c>
    </row>
    <row r="18">
      <c r="A18" s="39" t="inlineStr">
        <is>
          <t>TOTAL SOURCES</t>
        </is>
      </c>
      <c r="B18" s="42">
        <f>B16+B17</f>
        <v/>
      </c>
      <c r="C18" s="43">
        <f>1</f>
        <v/>
      </c>
      <c r="D18" s="42">
        <f>IF('Assumptions'!B10=0,0,B18/'Assumptions'!B10)</f>
        <v/>
      </c>
    </row>
    <row r="20">
      <c r="A20" s="10" t="inlineStr">
        <is>
          <t>Sources less uses (must be zero)</t>
        </is>
      </c>
      <c r="B20" s="16">
        <f>B18-B13</f>
        <v/>
      </c>
    </row>
    <row r="21">
      <c r="A21" s="10" t="inlineStr">
        <is>
          <t>Loan to cost</t>
        </is>
      </c>
      <c r="B21" s="49">
        <f>IF(B13=0,0,B16/B13)</f>
        <v/>
      </c>
    </row>
    <row r="22">
      <c r="A22" s="10" t="inlineStr">
        <is>
          <t>Loan to value</t>
        </is>
      </c>
      <c r="B22" s="49">
        <f>IF('Assumptions'!B15=0,0,B16/'Assumptions'!B15)</f>
        <v/>
      </c>
    </row>
    <row r="23">
      <c r="A23" s="10" t="inlineStr">
        <is>
          <t>Equity per unit</t>
        </is>
      </c>
      <c r="B23" s="16">
        <f>IF('Assumptions'!B10=0,0,B17/'Assumptions'!B10)</f>
        <v/>
      </c>
    </row>
    <row r="24">
      <c r="A24" s="10" t="inlineStr">
        <is>
          <t>Total capitalization per unit</t>
        </is>
      </c>
      <c r="B24" s="16">
        <f>IF('Assumptions'!B10=0,0,B13/'Assumptions'!B10)</f>
        <v/>
      </c>
    </row>
    <row r="26">
      <c r="A26" s="4" t="inlineStr">
        <is>
          <t>The origination fee is a use, so it is funded by equity at close. The unlevered cash flow on the Returns tab excludes it, because a financing cost does not belong in an unlevered return.</t>
        </is>
      </c>
    </row>
  </sheetData>
  <pageMargins left="0.4" right="0.4" top="0.5" bottom="0.5" header="0.5" footer="0.5"/>
  <pageSetup orientation="portrait" fitToHeight="0" fitToWidth="1"/>
  <headerFooter>
    <oddHeader/>
    <oddFooter>&amp;L&amp;8 &amp;K808080Altyst multifamily underwriting model&amp;R&amp;8 &amp;K808080Page &amp;P of &amp;N</oddFooter>
    <evenHeader/>
    <evenFooter/>
    <firstHeader/>
    <firstFooter/>
  </headerFooter>
</worksheet>
</file>

<file path=xl/worksheets/sheet8.xml><?xml version="1.0" encoding="utf-8"?>
<worksheet xmlns="http://schemas.openxmlformats.org/spreadsheetml/2006/main">
  <sheetPr>
    <outlinePr summaryBelow="1" summaryRight="1"/>
    <pageSetUpPr fitToPage="1"/>
  </sheetPr>
  <dimension ref="A1:J59"/>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44" customWidth="1" min="1" max="1"/>
    <col width="16" customWidth="1" min="2" max="2"/>
    <col width="16" customWidth="1" min="3" max="3"/>
    <col width="16" customWidth="1" min="4" max="4"/>
    <col width="16" customWidth="1" min="5" max="5"/>
    <col width="16" customWidth="1" min="6" max="6"/>
    <col width="16" customWidth="1" min="7" max="7"/>
    <col width="16" customWidth="1" min="8" max="8"/>
    <col width="16" customWidth="1" min="9" max="9"/>
    <col width="12" customWidth="1" min="10" max="10"/>
  </cols>
  <sheetData>
    <row r="1">
      <c r="A1" s="1" t="inlineStr">
        <is>
          <t>Returns</t>
        </is>
      </c>
    </row>
    <row r="2">
      <c r="A2" s="2" t="inlineStr">
        <is>
          <t>Exit on forward NOI. IRR over years zero to ten, with everything past the hold set to zero.</t>
        </is>
      </c>
    </row>
    <row r="3">
      <c r="A3" s="7" t="n"/>
      <c r="B3" s="7" t="n"/>
      <c r="C3" s="7" t="n"/>
      <c r="D3" s="7" t="n"/>
      <c r="E3" s="7" t="n"/>
      <c r="F3" s="7" t="n"/>
      <c r="G3" s="7" t="n"/>
      <c r="H3" s="7" t="n"/>
      <c r="I3" s="7" t="n"/>
      <c r="J3" s="7" t="n"/>
    </row>
    <row r="4">
      <c r="A4" s="8" t="inlineStr">
        <is>
          <t>EXIT</t>
        </is>
      </c>
      <c r="B4" s="9" t="n"/>
      <c r="C4" s="9" t="n"/>
      <c r="D4" s="9" t="n"/>
      <c r="E4" s="9" t="n"/>
      <c r="F4" s="9" t="n"/>
      <c r="G4" s="9" t="n"/>
      <c r="H4" s="9" t="n"/>
      <c r="I4" s="9" t="n"/>
      <c r="J4" s="9" t="n"/>
    </row>
    <row r="5">
      <c r="A5" s="10" t="inlineStr">
        <is>
          <t>Exit at the end of year</t>
        </is>
      </c>
      <c r="B5" s="13">
        <f>'Assumptions'!$B$25</f>
        <v/>
      </c>
    </row>
    <row r="6">
      <c r="A6" s="10" t="inlineStr">
        <is>
          <t>Forward NOI (the year after you sell)</t>
        </is>
      </c>
      <c r="B6" s="16">
        <f>INDEX('Pro Forma'!B46:L46,MAX(1,MIN(11,'Assumptions'!$B$25+1)))</f>
        <v/>
      </c>
    </row>
    <row r="7">
      <c r="A7" s="10" t="inlineStr">
        <is>
          <t>Exit cap rate</t>
        </is>
      </c>
      <c r="B7" s="66">
        <f>'Assumptions'!B79</f>
        <v/>
      </c>
      <c r="E7" s="73">
        <f>IF('Assumptions'!B79&gt;0,"","ERROR: the exit cap rate on Assumptions is not greater than zero. The sale is being valued at zero, so every levered return below is wrong. Fix the exit cap.")</f>
        <v/>
      </c>
    </row>
    <row r="8">
      <c r="A8" s="10" t="inlineStr">
        <is>
          <t>Gross sale price</t>
        </is>
      </c>
      <c r="B8" s="16">
        <f>IF(B7&lt;=0,0,MAX(0,B6/B7))</f>
        <v/>
      </c>
    </row>
    <row r="9">
      <c r="A9" s="10" t="inlineStr">
        <is>
          <t>Cost of sale</t>
        </is>
      </c>
      <c r="B9" s="16">
        <f>-B8*'Assumptions'!B80</f>
        <v/>
      </c>
    </row>
    <row r="10">
      <c r="A10" s="10" t="inlineStr">
        <is>
          <t>Loan payoff</t>
        </is>
      </c>
      <c r="B10" s="16">
        <f>-'Debt'!B26</f>
        <v/>
      </c>
    </row>
    <row r="11">
      <c r="A11" s="23" t="inlineStr">
        <is>
          <t>Net sale proceeds to equity</t>
        </is>
      </c>
      <c r="B11" s="24">
        <f>B8+B9+B10</f>
        <v/>
      </c>
    </row>
    <row r="12">
      <c r="A12" s="10" t="inlineStr">
        <is>
          <t>Exit price per unit</t>
        </is>
      </c>
      <c r="B12" s="16">
        <f>IF('Assumptions'!B10=0,0,B8/'Assumptions'!B10)</f>
        <v/>
      </c>
    </row>
    <row r="13">
      <c r="A13" s="10" t="inlineStr">
        <is>
          <t>Exit price per square foot</t>
        </is>
      </c>
      <c r="B13" s="17">
        <f>IF('Assumptions'!B11=0,0,B8/'Assumptions'!B11)</f>
        <v/>
      </c>
    </row>
    <row r="15">
      <c r="A15" s="8" t="inlineStr">
        <is>
          <t>CASH FLOW</t>
        </is>
      </c>
      <c r="B15" s="9" t="n"/>
      <c r="C15" s="9" t="n"/>
      <c r="D15" s="9" t="n"/>
      <c r="E15" s="9" t="n"/>
      <c r="F15" s="9" t="n"/>
      <c r="G15" s="9" t="n"/>
      <c r="H15" s="9" t="n"/>
      <c r="I15" s="9" t="n"/>
      <c r="J15" s="9" t="n"/>
    </row>
    <row r="16">
      <c r="A16" s="29" t="inlineStr">
        <is>
          <t>Year</t>
        </is>
      </c>
      <c r="B16" s="30" t="inlineStr">
        <is>
          <t>Unlevered operating</t>
        </is>
      </c>
      <c r="C16" s="30" t="inlineStr">
        <is>
          <t>Sale before debt</t>
        </is>
      </c>
      <c r="D16" s="30" t="inlineStr">
        <is>
          <t>TOTAL UNLEVERED</t>
        </is>
      </c>
      <c r="E16" s="30" t="inlineStr">
        <is>
          <t>Debt service</t>
        </is>
      </c>
      <c r="F16" s="30" t="inlineStr">
        <is>
          <t>Levered operating</t>
        </is>
      </c>
      <c r="G16" s="30" t="inlineStr">
        <is>
          <t>Net sale to equity</t>
        </is>
      </c>
      <c r="H16" s="30" t="inlineStr">
        <is>
          <t>TOTAL LEVERED</t>
        </is>
      </c>
      <c r="I16" s="30" t="inlineStr">
        <is>
          <t>Cumulative levered</t>
        </is>
      </c>
      <c r="J16" s="30" t="inlineStr">
        <is>
          <t>DSCR</t>
        </is>
      </c>
    </row>
    <row r="17">
      <c r="A17" s="69" t="n">
        <v>0</v>
      </c>
      <c r="B17" s="16">
        <f>-('Sources and Uses'!B13-'Sources and Uses'!B11)</f>
        <v/>
      </c>
      <c r="C17" s="16">
        <f>0</f>
        <v/>
      </c>
      <c r="D17" s="24">
        <f>B17+C17</f>
        <v/>
      </c>
      <c r="E17" s="16">
        <f>0</f>
        <v/>
      </c>
      <c r="F17" s="16">
        <f>-'Sources and Uses'!$B$17</f>
        <v/>
      </c>
      <c r="G17" s="16">
        <f>0</f>
        <v/>
      </c>
      <c r="H17" s="24">
        <f>F17+G17</f>
        <v/>
      </c>
      <c r="I17" s="16">
        <f>H17</f>
        <v/>
      </c>
      <c r="J17" s="74">
        <f>9999</f>
        <v/>
      </c>
    </row>
    <row r="18">
      <c r="A18" s="69" t="n">
        <v>1</v>
      </c>
      <c r="B18" s="16">
        <f>IF(1&lt;='Assumptions'!$B$25,'Pro Forma'!B56,0)</f>
        <v/>
      </c>
      <c r="C18" s="16">
        <f>IF(1='Assumptions'!$B$25,$B$8+$B$9,0)</f>
        <v/>
      </c>
      <c r="D18" s="24">
        <f>B18+C18</f>
        <v/>
      </c>
      <c r="E18" s="16">
        <f>IF(1&lt;='Assumptions'!$B$25,'Pro Forma'!B59,0)</f>
        <v/>
      </c>
      <c r="F18" s="16">
        <f>B18+E18</f>
        <v/>
      </c>
      <c r="G18" s="16">
        <f>IF(1='Assumptions'!$B$25,$B$11,0)</f>
        <v/>
      </c>
      <c r="H18" s="24">
        <f>F18+G18</f>
        <v/>
      </c>
      <c r="I18" s="16">
        <f>I17+H18</f>
        <v/>
      </c>
      <c r="J18" s="74">
        <f>IF(1&lt;='Assumptions'!$B$25,'Pro Forma'!B63,9999)</f>
        <v/>
      </c>
    </row>
    <row r="19">
      <c r="A19" s="69" t="n">
        <v>2</v>
      </c>
      <c r="B19" s="16">
        <f>IF(2&lt;='Assumptions'!$B$25,'Pro Forma'!C56,0)</f>
        <v/>
      </c>
      <c r="C19" s="16">
        <f>IF(2='Assumptions'!$B$25,$B$8+$B$9,0)</f>
        <v/>
      </c>
      <c r="D19" s="24">
        <f>B19+C19</f>
        <v/>
      </c>
      <c r="E19" s="16">
        <f>IF(2&lt;='Assumptions'!$B$25,'Pro Forma'!C59,0)</f>
        <v/>
      </c>
      <c r="F19" s="16">
        <f>B19+E19</f>
        <v/>
      </c>
      <c r="G19" s="16">
        <f>IF(2='Assumptions'!$B$25,$B$11,0)</f>
        <v/>
      </c>
      <c r="H19" s="24">
        <f>F19+G19</f>
        <v/>
      </c>
      <c r="I19" s="16">
        <f>I18+H19</f>
        <v/>
      </c>
      <c r="J19" s="74">
        <f>IF(2&lt;='Assumptions'!$B$25,'Pro Forma'!C63,9999)</f>
        <v/>
      </c>
    </row>
    <row r="20">
      <c r="A20" s="69" t="n">
        <v>3</v>
      </c>
      <c r="B20" s="16">
        <f>IF(3&lt;='Assumptions'!$B$25,'Pro Forma'!D56,0)</f>
        <v/>
      </c>
      <c r="C20" s="16">
        <f>IF(3='Assumptions'!$B$25,$B$8+$B$9,0)</f>
        <v/>
      </c>
      <c r="D20" s="24">
        <f>B20+C20</f>
        <v/>
      </c>
      <c r="E20" s="16">
        <f>IF(3&lt;='Assumptions'!$B$25,'Pro Forma'!D59,0)</f>
        <v/>
      </c>
      <c r="F20" s="16">
        <f>B20+E20</f>
        <v/>
      </c>
      <c r="G20" s="16">
        <f>IF(3='Assumptions'!$B$25,$B$11,0)</f>
        <v/>
      </c>
      <c r="H20" s="24">
        <f>F20+G20</f>
        <v/>
      </c>
      <c r="I20" s="16">
        <f>I19+H20</f>
        <v/>
      </c>
      <c r="J20" s="74">
        <f>IF(3&lt;='Assumptions'!$B$25,'Pro Forma'!D63,9999)</f>
        <v/>
      </c>
    </row>
    <row r="21">
      <c r="A21" s="69" t="n">
        <v>4</v>
      </c>
      <c r="B21" s="16">
        <f>IF(4&lt;='Assumptions'!$B$25,'Pro Forma'!E56,0)</f>
        <v/>
      </c>
      <c r="C21" s="16">
        <f>IF(4='Assumptions'!$B$25,$B$8+$B$9,0)</f>
        <v/>
      </c>
      <c r="D21" s="24">
        <f>B21+C21</f>
        <v/>
      </c>
      <c r="E21" s="16">
        <f>IF(4&lt;='Assumptions'!$B$25,'Pro Forma'!E59,0)</f>
        <v/>
      </c>
      <c r="F21" s="16">
        <f>B21+E21</f>
        <v/>
      </c>
      <c r="G21" s="16">
        <f>IF(4='Assumptions'!$B$25,$B$11,0)</f>
        <v/>
      </c>
      <c r="H21" s="24">
        <f>F21+G21</f>
        <v/>
      </c>
      <c r="I21" s="16">
        <f>I20+H21</f>
        <v/>
      </c>
      <c r="J21" s="74">
        <f>IF(4&lt;='Assumptions'!$B$25,'Pro Forma'!E63,9999)</f>
        <v/>
      </c>
    </row>
    <row r="22">
      <c r="A22" s="69" t="n">
        <v>5</v>
      </c>
      <c r="B22" s="16">
        <f>IF(5&lt;='Assumptions'!$B$25,'Pro Forma'!F56,0)</f>
        <v/>
      </c>
      <c r="C22" s="16">
        <f>IF(5='Assumptions'!$B$25,$B$8+$B$9,0)</f>
        <v/>
      </c>
      <c r="D22" s="24">
        <f>B22+C22</f>
        <v/>
      </c>
      <c r="E22" s="16">
        <f>IF(5&lt;='Assumptions'!$B$25,'Pro Forma'!F59,0)</f>
        <v/>
      </c>
      <c r="F22" s="16">
        <f>B22+E22</f>
        <v/>
      </c>
      <c r="G22" s="16">
        <f>IF(5='Assumptions'!$B$25,$B$11,0)</f>
        <v/>
      </c>
      <c r="H22" s="24">
        <f>F22+G22</f>
        <v/>
      </c>
      <c r="I22" s="16">
        <f>I21+H22</f>
        <v/>
      </c>
      <c r="J22" s="74">
        <f>IF(5&lt;='Assumptions'!$B$25,'Pro Forma'!F63,9999)</f>
        <v/>
      </c>
    </row>
    <row r="23">
      <c r="A23" s="69" t="n">
        <v>6</v>
      </c>
      <c r="B23" s="16">
        <f>IF(6&lt;='Assumptions'!$B$25,'Pro Forma'!G56,0)</f>
        <v/>
      </c>
      <c r="C23" s="16">
        <f>IF(6='Assumptions'!$B$25,$B$8+$B$9,0)</f>
        <v/>
      </c>
      <c r="D23" s="24">
        <f>B23+C23</f>
        <v/>
      </c>
      <c r="E23" s="16">
        <f>IF(6&lt;='Assumptions'!$B$25,'Pro Forma'!G59,0)</f>
        <v/>
      </c>
      <c r="F23" s="16">
        <f>B23+E23</f>
        <v/>
      </c>
      <c r="G23" s="16">
        <f>IF(6='Assumptions'!$B$25,$B$11,0)</f>
        <v/>
      </c>
      <c r="H23" s="24">
        <f>F23+G23</f>
        <v/>
      </c>
      <c r="I23" s="16">
        <f>I22+H23</f>
        <v/>
      </c>
      <c r="J23" s="74">
        <f>IF(6&lt;='Assumptions'!$B$25,'Pro Forma'!G63,9999)</f>
        <v/>
      </c>
    </row>
    <row r="24">
      <c r="A24" s="69" t="n">
        <v>7</v>
      </c>
      <c r="B24" s="16">
        <f>IF(7&lt;='Assumptions'!$B$25,'Pro Forma'!H56,0)</f>
        <v/>
      </c>
      <c r="C24" s="16">
        <f>IF(7='Assumptions'!$B$25,$B$8+$B$9,0)</f>
        <v/>
      </c>
      <c r="D24" s="24">
        <f>B24+C24</f>
        <v/>
      </c>
      <c r="E24" s="16">
        <f>IF(7&lt;='Assumptions'!$B$25,'Pro Forma'!H59,0)</f>
        <v/>
      </c>
      <c r="F24" s="16">
        <f>B24+E24</f>
        <v/>
      </c>
      <c r="G24" s="16">
        <f>IF(7='Assumptions'!$B$25,$B$11,0)</f>
        <v/>
      </c>
      <c r="H24" s="24">
        <f>F24+G24</f>
        <v/>
      </c>
      <c r="I24" s="16">
        <f>I23+H24</f>
        <v/>
      </c>
      <c r="J24" s="74">
        <f>IF(7&lt;='Assumptions'!$B$25,'Pro Forma'!H63,9999)</f>
        <v/>
      </c>
    </row>
    <row r="25">
      <c r="A25" s="69" t="n">
        <v>8</v>
      </c>
      <c r="B25" s="16">
        <f>IF(8&lt;='Assumptions'!$B$25,'Pro Forma'!I56,0)</f>
        <v/>
      </c>
      <c r="C25" s="16">
        <f>IF(8='Assumptions'!$B$25,$B$8+$B$9,0)</f>
        <v/>
      </c>
      <c r="D25" s="24">
        <f>B25+C25</f>
        <v/>
      </c>
      <c r="E25" s="16">
        <f>IF(8&lt;='Assumptions'!$B$25,'Pro Forma'!I59,0)</f>
        <v/>
      </c>
      <c r="F25" s="16">
        <f>B25+E25</f>
        <v/>
      </c>
      <c r="G25" s="16">
        <f>IF(8='Assumptions'!$B$25,$B$11,0)</f>
        <v/>
      </c>
      <c r="H25" s="24">
        <f>F25+G25</f>
        <v/>
      </c>
      <c r="I25" s="16">
        <f>I24+H25</f>
        <v/>
      </c>
      <c r="J25" s="74">
        <f>IF(8&lt;='Assumptions'!$B$25,'Pro Forma'!I63,9999)</f>
        <v/>
      </c>
    </row>
    <row r="26">
      <c r="A26" s="69" t="n">
        <v>9</v>
      </c>
      <c r="B26" s="16">
        <f>IF(9&lt;='Assumptions'!$B$25,'Pro Forma'!J56,0)</f>
        <v/>
      </c>
      <c r="C26" s="16">
        <f>IF(9='Assumptions'!$B$25,$B$8+$B$9,0)</f>
        <v/>
      </c>
      <c r="D26" s="24">
        <f>B26+C26</f>
        <v/>
      </c>
      <c r="E26" s="16">
        <f>IF(9&lt;='Assumptions'!$B$25,'Pro Forma'!J59,0)</f>
        <v/>
      </c>
      <c r="F26" s="16">
        <f>B26+E26</f>
        <v/>
      </c>
      <c r="G26" s="16">
        <f>IF(9='Assumptions'!$B$25,$B$11,0)</f>
        <v/>
      </c>
      <c r="H26" s="24">
        <f>F26+G26</f>
        <v/>
      </c>
      <c r="I26" s="16">
        <f>I25+H26</f>
        <v/>
      </c>
      <c r="J26" s="74">
        <f>IF(9&lt;='Assumptions'!$B$25,'Pro Forma'!J63,9999)</f>
        <v/>
      </c>
    </row>
    <row r="27">
      <c r="A27" s="69" t="n">
        <v>10</v>
      </c>
      <c r="B27" s="16">
        <f>IF(10&lt;='Assumptions'!$B$25,'Pro Forma'!K56,0)</f>
        <v/>
      </c>
      <c r="C27" s="16">
        <f>IF(10='Assumptions'!$B$25,$B$8+$B$9,0)</f>
        <v/>
      </c>
      <c r="D27" s="24">
        <f>B27+C27</f>
        <v/>
      </c>
      <c r="E27" s="16">
        <f>IF(10&lt;='Assumptions'!$B$25,'Pro Forma'!K59,0)</f>
        <v/>
      </c>
      <c r="F27" s="16">
        <f>B27+E27</f>
        <v/>
      </c>
      <c r="G27" s="16">
        <f>IF(10='Assumptions'!$B$25,$B$11,0)</f>
        <v/>
      </c>
      <c r="H27" s="24">
        <f>F27+G27</f>
        <v/>
      </c>
      <c r="I27" s="16">
        <f>I26+H27</f>
        <v/>
      </c>
      <c r="J27" s="74">
        <f>IF(10&lt;='Assumptions'!$B$25,'Pro Forma'!K63,9999)</f>
        <v/>
      </c>
    </row>
    <row r="29">
      <c r="A29" s="8" t="inlineStr">
        <is>
          <t>RETURNS</t>
        </is>
      </c>
      <c r="B29" s="9" t="n"/>
      <c r="C29" s="9" t="n"/>
      <c r="D29" s="9" t="n"/>
      <c r="E29" s="9" t="n"/>
      <c r="F29" s="9" t="n"/>
      <c r="G29" s="9" t="n"/>
      <c r="H29" s="9" t="n"/>
      <c r="I29" s="9" t="n"/>
      <c r="J29" s="9" t="n"/>
    </row>
    <row r="30">
      <c r="A30" s="23" t="inlineStr">
        <is>
          <t>Unlevered IRR</t>
        </is>
      </c>
      <c r="B30" s="75">
        <f>IFERROR(IRR(D17:D27),0)</f>
        <v/>
      </c>
    </row>
    <row r="31">
      <c r="A31" s="10" t="inlineStr">
        <is>
          <t>Unlevered equity multiple</t>
        </is>
      </c>
      <c r="B31" s="68">
        <f>IF(SUMIF(D17:D27,"&lt;0")=0,0,SUMIF(D17:D27,"&gt;0")/-SUMIF(D17:D27,"&lt;0"))</f>
        <v/>
      </c>
    </row>
    <row r="32">
      <c r="A32" s="23" t="inlineStr">
        <is>
          <t>LEVERED IRR</t>
        </is>
      </c>
      <c r="B32" s="75">
        <f>IFERROR(IRR(H17:H27),0)</f>
        <v/>
      </c>
    </row>
    <row r="33">
      <c r="A33" s="23" t="inlineStr">
        <is>
          <t>LEVERED EQUITY MULTIPLE</t>
        </is>
      </c>
      <c r="B33" s="76">
        <f>IF(SUMIF(H17:H27,"&lt;0")=0,0,SUMIF(H17:H27,"&gt;0")/-SUMIF(H17:H27,"&lt;0"))</f>
        <v/>
      </c>
    </row>
    <row r="34">
      <c r="A34" s="10" t="inlineStr">
        <is>
          <t>Total equity invested</t>
        </is>
      </c>
      <c r="B34" s="16">
        <f>-SUMIF(H17:H27,"&lt;0")</f>
        <v/>
      </c>
    </row>
    <row r="35">
      <c r="A35" s="10" t="inlineStr">
        <is>
          <t>Total distributions</t>
        </is>
      </c>
      <c r="B35" s="16">
        <f>SUMIF(H17:H27,"&gt;0")</f>
        <v/>
      </c>
    </row>
    <row r="36">
      <c r="A36" s="10" t="inlineStr">
        <is>
          <t>Net profit</t>
        </is>
      </c>
      <c r="B36" s="16">
        <f>B35-B34</f>
        <v/>
      </c>
    </row>
    <row r="37">
      <c r="A37" s="10" t="inlineStr">
        <is>
          <t>Average cash-on-cash over the hold</t>
        </is>
      </c>
      <c r="B37" s="49">
        <f>IF(OR('Assumptions'!$B$25=0,'Sources and Uses'!$B$17=0),0,SUM(F18:F27)/'Assumptions'!$B$25/'Sources and Uses'!$B$17)</f>
        <v/>
      </c>
    </row>
    <row r="38">
      <c r="A38" s="10" t="inlineStr">
        <is>
          <t>Year-1 cash-on-cash</t>
        </is>
      </c>
      <c r="B38" s="49">
        <f>IF('Sources and Uses'!$B$17=0,0,F18/'Sources and Uses'!$B$17)</f>
        <v/>
      </c>
    </row>
    <row r="40">
      <c r="A40" s="8" t="inlineStr">
        <is>
          <t>RATIOS AND COVERAGE</t>
        </is>
      </c>
      <c r="B40" s="9" t="n"/>
      <c r="C40" s="9" t="n"/>
      <c r="D40" s="9" t="n"/>
      <c r="E40" s="9" t="n"/>
      <c r="F40" s="9" t="n"/>
      <c r="G40" s="9" t="n"/>
      <c r="H40" s="9" t="n"/>
      <c r="I40" s="9" t="n"/>
      <c r="J40" s="9" t="n"/>
    </row>
    <row r="41">
      <c r="A41" s="10" t="inlineStr">
        <is>
          <t>Going-in cap rate (year-1 NOI over price)</t>
        </is>
      </c>
      <c r="B41" s="66">
        <f>IF('Assumptions'!B15=0,0,'Pro Forma'!B46/'Assumptions'!B15)</f>
        <v/>
      </c>
    </row>
    <row r="42">
      <c r="A42" s="10" t="inlineStr">
        <is>
          <t>Cap rate on exit-year NOI over price</t>
        </is>
      </c>
      <c r="B42" s="66">
        <f>IF('Assumptions'!B15=0,0,INDEX('Pro Forma'!B46:K46,MAX(1,MIN(10,'Assumptions'!$B$25)))/'Assumptions'!B15)</f>
        <v/>
      </c>
    </row>
    <row r="43">
      <c r="A43" s="10" t="inlineStr">
        <is>
          <t>Yield on cost (exit-year NOI over all-in project cost)</t>
        </is>
      </c>
      <c r="B43" s="66">
        <f>IF(('Sources and Uses'!B13+'Assumptions'!B59*(1-'Assumptions'!B61))=0,0,INDEX('Pro Forma'!B46:K46,MAX(1,MIN(10,'Assumptions'!$B$25)))/('Sources and Uses'!B13+'Assumptions'!B59*(1-'Assumptions'!B61)))</f>
        <v/>
      </c>
    </row>
    <row r="44">
      <c r="A44" s="10" t="inlineStr">
        <is>
          <t>Going-in DSCR</t>
        </is>
      </c>
      <c r="B44" s="68">
        <f>'Debt'!B21</f>
        <v/>
      </c>
    </row>
    <row r="45">
      <c r="A45" s="10" t="inlineStr">
        <is>
          <t>Minimum DSCR over the hold</t>
        </is>
      </c>
      <c r="B45" s="68">
        <f>IF('Assumptions'!$B$25&lt;1,0,MIN(J18:J27))</f>
        <v/>
      </c>
    </row>
    <row r="46">
      <c r="A46" s="10" t="inlineStr">
        <is>
          <t>Going-in debt yield</t>
        </is>
      </c>
      <c r="B46" s="66">
        <f>'Debt'!B22</f>
        <v/>
      </c>
    </row>
    <row r="47">
      <c r="A47" s="10" t="inlineStr">
        <is>
          <t>Break-even occupancy at exit-year operations</t>
        </is>
      </c>
      <c r="B47" s="49">
        <f>IFERROR((INDEX('Pro Forma'!B44:K44,MAX(1,MIN(10,'Assumptions'!$B$25)))+INDEX('Debt'!D30:D39,MAX(1,MIN(10,'Assumptions'!$B$25))))/(INDEX('Pro Forma'!B19:K19,MAX(1,MIN(10,'Assumptions'!$B$25)))+INDEX('Pro Forma'!B20:K20,MAX(1,MIN(10,'Assumptions'!$B$25)))+'Assumptions'!D46*INDEX('Pro Forma'!B6:K6,MAX(1,MIN(10,'Assumptions'!$B$25)))),0)</f>
        <v/>
      </c>
    </row>
    <row r="48">
      <c r="A48" s="10" t="inlineStr">
        <is>
          <t>All-in cost per unit (uses plus renovation funded from cash flow)</t>
        </is>
      </c>
      <c r="B48" s="16">
        <f>IF('Assumptions'!B10=0,0,('Sources and Uses'!B13+'Assumptions'!B59*(1-'Assumptions'!B61))/'Assumptions'!B10)</f>
        <v/>
      </c>
    </row>
    <row r="49">
      <c r="A49" s="10" t="inlineStr">
        <is>
          <t>Exit value per unit</t>
        </is>
      </c>
      <c r="B49" s="16">
        <f>B12</f>
        <v/>
      </c>
    </row>
    <row r="50">
      <c r="A50" s="10" t="inlineStr">
        <is>
          <t>Exit cap less going-in cap</t>
        </is>
      </c>
      <c r="B50" s="77">
        <f>(B7-B41)*10000</f>
        <v/>
      </c>
      <c r="E50" s="14" t="inlineStr">
        <is>
          <t>A negative spread means you are underwriting an exit at a tighter cap than you bought at. That is a bet on the market, not on the asset.</t>
        </is>
      </c>
    </row>
    <row r="52">
      <c r="A52" s="8" t="inlineStr">
        <is>
          <t>YOUR HURDLES</t>
        </is>
      </c>
      <c r="B52" s="9" t="n"/>
      <c r="C52" s="9" t="n"/>
      <c r="D52" s="9" t="n"/>
      <c r="E52" s="9" t="n"/>
      <c r="F52" s="9" t="n"/>
      <c r="G52" s="9" t="n"/>
      <c r="H52" s="9" t="n"/>
      <c r="I52" s="9" t="n"/>
      <c r="J52" s="9" t="n"/>
    </row>
    <row r="53">
      <c r="A53" s="29" t="inlineStr">
        <is>
          <t>Test</t>
        </is>
      </c>
      <c r="B53" s="30" t="inlineStr">
        <is>
          <t>Target</t>
        </is>
      </c>
      <c r="C53" s="30" t="inlineStr">
        <is>
          <t>Actual</t>
        </is>
      </c>
      <c r="D53" s="30" t="inlineStr">
        <is>
          <t>Result</t>
        </is>
      </c>
    </row>
    <row r="54">
      <c r="A54" s="10" t="inlineStr">
        <is>
          <t>Levered IRR</t>
        </is>
      </c>
      <c r="B54" s="66">
        <f>'Assumptions'!B83</f>
        <v/>
      </c>
      <c r="C54" s="66">
        <f>B32</f>
        <v/>
      </c>
      <c r="D54" s="78">
        <f>IF(C54&gt;=B54,"Clears","Short")</f>
        <v/>
      </c>
    </row>
    <row r="55">
      <c r="A55" s="10" t="inlineStr">
        <is>
          <t>Equity multiple</t>
        </is>
      </c>
      <c r="B55" s="68">
        <f>'Assumptions'!B84</f>
        <v/>
      </c>
      <c r="C55" s="68">
        <f>B33</f>
        <v/>
      </c>
      <c r="D55" s="78">
        <f>IF(C55&gt;=B55,"Clears","Short")</f>
        <v/>
      </c>
    </row>
    <row r="56">
      <c r="A56" s="10" t="inlineStr">
        <is>
          <t>Going-in DSCR</t>
        </is>
      </c>
      <c r="B56" s="68">
        <f>'Assumptions'!B85</f>
        <v/>
      </c>
      <c r="C56" s="68">
        <f>B44</f>
        <v/>
      </c>
      <c r="D56" s="78">
        <f>IF(C56&gt;=B56,"Clears","Short")</f>
        <v/>
      </c>
    </row>
    <row r="57">
      <c r="A57" s="10" t="inlineStr">
        <is>
          <t>Going-in debt yield</t>
        </is>
      </c>
      <c r="B57" s="66">
        <f>'Assumptions'!B86</f>
        <v/>
      </c>
      <c r="C57" s="66">
        <f>B46</f>
        <v/>
      </c>
      <c r="D57" s="78">
        <f>IF(C57&gt;=B57,"Clears","Short")</f>
        <v/>
      </c>
    </row>
    <row r="59">
      <c r="A59" s="4" t="inlineStr">
        <is>
          <t>These hurdles are yours. The model does not have a house view on what a good deal is, and it will never tell you a price you should bid.</t>
        </is>
      </c>
    </row>
  </sheetData>
  <pageMargins left="0.4" right="0.4" top="0.5" bottom="0.5" header="0.5" footer="0.5"/>
  <pageSetup orientation="portrait" fitToHeight="0" fitToWidth="1"/>
  <headerFooter>
    <oddHeader/>
    <oddFooter>&amp;L&amp;8 &amp;K808080Altyst multifamily underwriting model&amp;R&amp;8 &amp;K808080Page &amp;P of &amp;N</oddFooter>
    <evenHeader/>
    <evenFooter/>
    <firstHeader/>
    <firstFooter/>
  </headerFooter>
</worksheet>
</file>

<file path=xl/worksheets/sheet9.xml><?xml version="1.0" encoding="utf-8"?>
<worksheet xmlns="http://schemas.openxmlformats.org/spreadsheetml/2006/main">
  <sheetPr>
    <outlinePr summaryBelow="1" summaryRight="1"/>
    <pageSetUpPr fitToPage="1"/>
  </sheetPr>
  <dimension ref="A1:H37"/>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4" customWidth="1" min="7" max="7"/>
    <col width="30" customWidth="1" min="8" max="8"/>
  </cols>
  <sheetData>
    <row r="1">
      <c r="A1" s="1" t="inlineStr">
        <is>
          <t>Sensitivity</t>
        </is>
      </c>
    </row>
    <row r="2">
      <c r="A2" s="2" t="inlineStr">
        <is>
          <t>Two-way grids on levered return. The centre cell of each grid is the base case.</t>
        </is>
      </c>
    </row>
    <row r="3">
      <c r="A3" s="7" t="n"/>
      <c r="B3" s="7" t="n"/>
      <c r="C3" s="7" t="n"/>
      <c r="D3" s="7" t="n"/>
      <c r="E3" s="7" t="n"/>
      <c r="F3" s="7" t="n"/>
      <c r="G3" s="7" t="n"/>
      <c r="H3" s="7" t="n"/>
    </row>
    <row r="4">
      <c r="A4" s="79" t="inlineStr">
        <is>
          <t>LEVERED IRR: exit cap rate by market rent growth</t>
        </is>
      </c>
    </row>
    <row r="5">
      <c r="A5" s="4" t="inlineStr">
        <is>
          <t>Rent growth across the top. Exit cap down the side.</t>
        </is>
      </c>
    </row>
    <row r="7">
      <c r="A7" s="55" t="inlineStr">
        <is>
          <t>Exit cap \ column</t>
        </is>
      </c>
      <c r="B7" s="80">
        <f>'Sens Calc'!B$33</f>
        <v/>
      </c>
      <c r="C7" s="80">
        <f>'Sens Calc'!C$33</f>
        <v/>
      </c>
      <c r="D7" s="80">
        <f>'Sens Calc'!D$33</f>
        <v/>
      </c>
      <c r="E7" s="80">
        <f>'Sens Calc'!E$33</f>
        <v/>
      </c>
      <c r="F7" s="80">
        <f>'Sens Calc'!F$33</f>
        <v/>
      </c>
    </row>
    <row r="8">
      <c r="A8" s="81">
        <f>'Sens Calc'!B$32</f>
        <v/>
      </c>
      <c r="B8" s="82">
        <f>'Sens Calc'!B$47</f>
        <v/>
      </c>
      <c r="C8" s="82">
        <f>'Sens Calc'!C$47</f>
        <v/>
      </c>
      <c r="D8" s="82">
        <f>'Sens Calc'!D$47</f>
        <v/>
      </c>
      <c r="E8" s="82">
        <f>'Sens Calc'!E$47</f>
        <v/>
      </c>
      <c r="F8" s="82">
        <f>'Sens Calc'!F$47</f>
        <v/>
      </c>
    </row>
    <row r="9">
      <c r="A9" s="81">
        <f>'Sens Calc'!G$32</f>
        <v/>
      </c>
      <c r="B9" s="82">
        <f>'Sens Calc'!G$47</f>
        <v/>
      </c>
      <c r="C9" s="82">
        <f>'Sens Calc'!H$47</f>
        <v/>
      </c>
      <c r="D9" s="82">
        <f>'Sens Calc'!I$47</f>
        <v/>
      </c>
      <c r="E9" s="82">
        <f>'Sens Calc'!J$47</f>
        <v/>
      </c>
      <c r="F9" s="82">
        <f>'Sens Calc'!K$47</f>
        <v/>
      </c>
    </row>
    <row r="10">
      <c r="A10" s="81">
        <f>'Sens Calc'!L$32</f>
        <v/>
      </c>
      <c r="B10" s="82">
        <f>'Sens Calc'!L$47</f>
        <v/>
      </c>
      <c r="C10" s="82">
        <f>'Sens Calc'!M$47</f>
        <v/>
      </c>
      <c r="D10" s="82">
        <f>'Sens Calc'!N$47</f>
        <v/>
      </c>
      <c r="E10" s="82">
        <f>'Sens Calc'!O$47</f>
        <v/>
      </c>
      <c r="F10" s="82">
        <f>'Sens Calc'!P$47</f>
        <v/>
      </c>
    </row>
    <row r="11">
      <c r="A11" s="81">
        <f>'Sens Calc'!Q$32</f>
        <v/>
      </c>
      <c r="B11" s="82">
        <f>'Sens Calc'!Q$47</f>
        <v/>
      </c>
      <c r="C11" s="82">
        <f>'Sens Calc'!R$47</f>
        <v/>
      </c>
      <c r="D11" s="82">
        <f>'Sens Calc'!S$47</f>
        <v/>
      </c>
      <c r="E11" s="82">
        <f>'Sens Calc'!T$47</f>
        <v/>
      </c>
      <c r="F11" s="82">
        <f>'Sens Calc'!U$47</f>
        <v/>
      </c>
    </row>
    <row r="12">
      <c r="A12" s="81">
        <f>'Sens Calc'!V$32</f>
        <v/>
      </c>
      <c r="B12" s="82">
        <f>'Sens Calc'!V$47</f>
        <v/>
      </c>
      <c r="C12" s="82">
        <f>'Sens Calc'!W$47</f>
        <v/>
      </c>
      <c r="D12" s="82">
        <f>'Sens Calc'!X$47</f>
        <v/>
      </c>
      <c r="E12" s="82">
        <f>'Sens Calc'!Y$47</f>
        <v/>
      </c>
      <c r="F12" s="82">
        <f>'Sens Calc'!Z$47</f>
        <v/>
      </c>
    </row>
    <row r="15">
      <c r="A15" s="79" t="inlineStr">
        <is>
          <t>LEVERED IRR: exit cap rate by purchase price</t>
        </is>
      </c>
    </row>
    <row r="16">
      <c r="A16" s="4" t="inlineStr">
        <is>
          <t>Purchase price across the top. Exit cap down the side. The loan resizes at every price.</t>
        </is>
      </c>
    </row>
    <row r="18">
      <c r="A18" s="55" t="inlineStr">
        <is>
          <t>Exit cap \ column</t>
        </is>
      </c>
      <c r="B18" s="83">
        <f>'Sens Calc'!B$74</f>
        <v/>
      </c>
      <c r="C18" s="83">
        <f>'Sens Calc'!C$74</f>
        <v/>
      </c>
      <c r="D18" s="83">
        <f>'Sens Calc'!D$74</f>
        <v/>
      </c>
      <c r="E18" s="83">
        <f>'Sens Calc'!E$74</f>
        <v/>
      </c>
      <c r="F18" s="83">
        <f>'Sens Calc'!F$74</f>
        <v/>
      </c>
    </row>
    <row r="19">
      <c r="A19" s="81">
        <f>'Sens Calc'!B$73</f>
        <v/>
      </c>
      <c r="B19" s="82">
        <f>'Sens Calc'!B$88</f>
        <v/>
      </c>
      <c r="C19" s="82">
        <f>'Sens Calc'!C$88</f>
        <v/>
      </c>
      <c r="D19" s="82">
        <f>'Sens Calc'!D$88</f>
        <v/>
      </c>
      <c r="E19" s="82">
        <f>'Sens Calc'!E$88</f>
        <v/>
      </c>
      <c r="F19" s="82">
        <f>'Sens Calc'!F$88</f>
        <v/>
      </c>
    </row>
    <row r="20">
      <c r="A20" s="81">
        <f>'Sens Calc'!G$73</f>
        <v/>
      </c>
      <c r="B20" s="82">
        <f>'Sens Calc'!G$88</f>
        <v/>
      </c>
      <c r="C20" s="82">
        <f>'Sens Calc'!H$88</f>
        <v/>
      </c>
      <c r="D20" s="82">
        <f>'Sens Calc'!I$88</f>
        <v/>
      </c>
      <c r="E20" s="82">
        <f>'Sens Calc'!J$88</f>
        <v/>
      </c>
      <c r="F20" s="82">
        <f>'Sens Calc'!K$88</f>
        <v/>
      </c>
    </row>
    <row r="21">
      <c r="A21" s="81">
        <f>'Sens Calc'!L$73</f>
        <v/>
      </c>
      <c r="B21" s="82">
        <f>'Sens Calc'!L$88</f>
        <v/>
      </c>
      <c r="C21" s="82">
        <f>'Sens Calc'!M$88</f>
        <v/>
      </c>
      <c r="D21" s="82">
        <f>'Sens Calc'!N$88</f>
        <v/>
      </c>
      <c r="E21" s="82">
        <f>'Sens Calc'!O$88</f>
        <v/>
      </c>
      <c r="F21" s="82">
        <f>'Sens Calc'!P$88</f>
        <v/>
      </c>
    </row>
    <row r="22">
      <c r="A22" s="81">
        <f>'Sens Calc'!Q$73</f>
        <v/>
      </c>
      <c r="B22" s="82">
        <f>'Sens Calc'!Q$88</f>
        <v/>
      </c>
      <c r="C22" s="82">
        <f>'Sens Calc'!R$88</f>
        <v/>
      </c>
      <c r="D22" s="82">
        <f>'Sens Calc'!S$88</f>
        <v/>
      </c>
      <c r="E22" s="82">
        <f>'Sens Calc'!T$88</f>
        <v/>
      </c>
      <c r="F22" s="82">
        <f>'Sens Calc'!U$88</f>
        <v/>
      </c>
    </row>
    <row r="23">
      <c r="A23" s="81">
        <f>'Sens Calc'!V$73</f>
        <v/>
      </c>
      <c r="B23" s="82">
        <f>'Sens Calc'!V$88</f>
        <v/>
      </c>
      <c r="C23" s="82">
        <f>'Sens Calc'!W$88</f>
        <v/>
      </c>
      <c r="D23" s="82">
        <f>'Sens Calc'!X$88</f>
        <v/>
      </c>
      <c r="E23" s="82">
        <f>'Sens Calc'!Y$88</f>
        <v/>
      </c>
      <c r="F23" s="82">
        <f>'Sens Calc'!Z$88</f>
        <v/>
      </c>
    </row>
    <row r="26">
      <c r="A26" s="79" t="inlineStr">
        <is>
          <t>EQUITY MULTIPLE: exit cap rate by purchase price</t>
        </is>
      </c>
    </row>
    <row r="27">
      <c r="A27" s="4" t="inlineStr">
        <is>
          <t>Same fifty rebuilds, read as a multiple instead of a rate.</t>
        </is>
      </c>
    </row>
    <row r="29">
      <c r="A29" s="55" t="inlineStr">
        <is>
          <t>Exit cap \ column</t>
        </is>
      </c>
      <c r="B29" s="83">
        <f>'Sens Calc'!B$74</f>
        <v/>
      </c>
      <c r="C29" s="83">
        <f>'Sens Calc'!C$74</f>
        <v/>
      </c>
      <c r="D29" s="83">
        <f>'Sens Calc'!D$74</f>
        <v/>
      </c>
      <c r="E29" s="83">
        <f>'Sens Calc'!E$74</f>
        <v/>
      </c>
      <c r="F29" s="83">
        <f>'Sens Calc'!F$74</f>
        <v/>
      </c>
    </row>
    <row r="30">
      <c r="A30" s="81">
        <f>'Sens Calc'!B$73</f>
        <v/>
      </c>
      <c r="B30" s="84">
        <f>'Sens Calc'!B$89</f>
        <v/>
      </c>
      <c r="C30" s="84">
        <f>'Sens Calc'!C$89</f>
        <v/>
      </c>
      <c r="D30" s="84">
        <f>'Sens Calc'!D$89</f>
        <v/>
      </c>
      <c r="E30" s="84">
        <f>'Sens Calc'!E$89</f>
        <v/>
      </c>
      <c r="F30" s="84">
        <f>'Sens Calc'!F$89</f>
        <v/>
      </c>
    </row>
    <row r="31">
      <c r="A31" s="81">
        <f>'Sens Calc'!G$73</f>
        <v/>
      </c>
      <c r="B31" s="84">
        <f>'Sens Calc'!G$89</f>
        <v/>
      </c>
      <c r="C31" s="84">
        <f>'Sens Calc'!H$89</f>
        <v/>
      </c>
      <c r="D31" s="84">
        <f>'Sens Calc'!I$89</f>
        <v/>
      </c>
      <c r="E31" s="84">
        <f>'Sens Calc'!J$89</f>
        <v/>
      </c>
      <c r="F31" s="84">
        <f>'Sens Calc'!K$89</f>
        <v/>
      </c>
    </row>
    <row r="32">
      <c r="A32" s="81">
        <f>'Sens Calc'!L$73</f>
        <v/>
      </c>
      <c r="B32" s="84">
        <f>'Sens Calc'!L$89</f>
        <v/>
      </c>
      <c r="C32" s="84">
        <f>'Sens Calc'!M$89</f>
        <v/>
      </c>
      <c r="D32" s="84">
        <f>'Sens Calc'!N$89</f>
        <v/>
      </c>
      <c r="E32" s="84">
        <f>'Sens Calc'!O$89</f>
        <v/>
      </c>
      <c r="F32" s="84">
        <f>'Sens Calc'!P$89</f>
        <v/>
      </c>
    </row>
    <row r="33">
      <c r="A33" s="81">
        <f>'Sens Calc'!Q$73</f>
        <v/>
      </c>
      <c r="B33" s="84">
        <f>'Sens Calc'!Q$89</f>
        <v/>
      </c>
      <c r="C33" s="84">
        <f>'Sens Calc'!R$89</f>
        <v/>
      </c>
      <c r="D33" s="84">
        <f>'Sens Calc'!S$89</f>
        <v/>
      </c>
      <c r="E33" s="84">
        <f>'Sens Calc'!T$89</f>
        <v/>
      </c>
      <c r="F33" s="84">
        <f>'Sens Calc'!U$89</f>
        <v/>
      </c>
    </row>
    <row r="34">
      <c r="A34" s="81">
        <f>'Sens Calc'!V$73</f>
        <v/>
      </c>
      <c r="B34" s="84">
        <f>'Sens Calc'!V$89</f>
        <v/>
      </c>
      <c r="C34" s="84">
        <f>'Sens Calc'!W$89</f>
        <v/>
      </c>
      <c r="D34" s="84">
        <f>'Sens Calc'!X$89</f>
        <v/>
      </c>
      <c r="E34" s="84">
        <f>'Sens Calc'!Y$89</f>
        <v/>
      </c>
      <c r="F34" s="84">
        <f>'Sens Calc'!Z$89</f>
        <v/>
      </c>
    </row>
    <row r="37">
      <c r="A37" s="4" t="inlineStr">
        <is>
          <t>Each cell is a complete rebuild of the levered cash flow and its own IRR solve, not an interpolation. The centre cell reproduces the Returns tab exactly. If it does not, something upstream is broken and the Checks tab will say so.</t>
        </is>
      </c>
    </row>
  </sheetData>
  <conditionalFormatting sqref="B8:F12">
    <cfRule type="colorScale" priority="1">
      <colorScale>
        <cfvo type="min"/>
        <cfvo type="percentile" val="50"/>
        <cfvo type="max"/>
        <color rgb="00F6D5C3"/>
        <color rgb="00FBEDD9"/>
        <color rgb="00D9E8D4"/>
      </colorScale>
    </cfRule>
  </conditionalFormatting>
  <conditionalFormatting sqref="B19:F23">
    <cfRule type="colorScale" priority="1">
      <colorScale>
        <cfvo type="min"/>
        <cfvo type="percentile" val="50"/>
        <cfvo type="max"/>
        <color rgb="00F6D5C3"/>
        <color rgb="00FBEDD9"/>
        <color rgb="00D9E8D4"/>
      </colorScale>
    </cfRule>
  </conditionalFormatting>
  <conditionalFormatting sqref="B30:F34">
    <cfRule type="colorScale" priority="3">
      <colorScale>
        <cfvo type="min"/>
        <cfvo type="percentile" val="50"/>
        <cfvo type="max"/>
        <color rgb="00F6D5C3"/>
        <color rgb="00FBEDD9"/>
        <color rgb="00D9E8D4"/>
      </colorScale>
    </cfRule>
  </conditionalFormatting>
  <pageMargins left="0.4" right="0.4" top="0.5" bottom="0.5" header="0.5" footer="0.5"/>
  <pageSetup orientation="portrait" fitToHeight="0" fitToWidth="1"/>
  <headerFooter>
    <oddHeader/>
    <oddFooter>&amp;L&amp;8 &amp;K808080Altyst multifamily underwriting model&amp;R&amp;8 &amp;K808080Page &amp;P of &amp;N</oddFooter>
    <evenHeader/>
    <evenFooter/>
    <firstHeader/>
    <firstFooter/>
  </headerFooter>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Altyst</dc:creator>
  <dc:title xmlns:dc="http://purl.org/dc/elements/1.1/">Multifamily Underwriting Model</dc:title>
  <dc:description xmlns:dc="http://purl.org/dc/elements/1.1/">Free multifamily acquisition model. Rent roll, T-12 normalization, pro forma, debt sizing, sources and uses, levered and unlevered returns, sensitivity.</dc:description>
  <dcterms:created xmlns:dcterms="http://purl.org/dc/terms/" xmlns:xsi="http://www.w3.org/2001/XMLSchema-instance" xsi:type="dcterms:W3CDTF">2026-08-07T16:18:45Z</dcterms:created>
  <dcterms:modified xmlns:dcterms="http://purl.org/dc/terms/" xmlns:xsi="http://www.w3.org/2001/XMLSchema-instance" xsi:type="dcterms:W3CDTF">2026-08-07T16:18:45Z</dcterms:modified>
</cp:coreProperties>
</file>